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embeddings/oleObject3.bin" ContentType="application/vnd.openxmlformats-officedocument.oleObject"/>
  <Override PartName="/xl/ctrlProps/ctrlProp3.xml" ContentType="application/vnd.ms-excel.controlproperties+xml"/>
  <Override PartName="/xl/drawings/drawing3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embeddings/oleObject6.bin" ContentType="application/vnd.openxmlformats-officedocument.oleObject"/>
  <Override PartName="/xl/ctrlProps/ctrlProp6.xml" ContentType="application/vnd.ms-excel.controlproperties+xml"/>
  <Override PartName="/xl/drawings/drawing5.xml" ContentType="application/vnd.openxmlformats-officedocument.drawing+xml"/>
  <Override PartName="/xl/embeddings/oleObject7.bin" ContentType="application/vnd.openxmlformats-officedocument.oleObject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23270" windowHeight="9400" activeTab="5"/>
  </bookViews>
  <sheets>
    <sheet name="TOP STAY SQ NEW" sheetId="7" r:id="rId1"/>
    <sheet name="TOP STAY SF " sheetId="2" r:id="rId2"/>
    <sheet name="TOP STAY SE" sheetId="5" r:id="rId3"/>
    <sheet name="Лист1" sheetId="9" r:id="rId4"/>
    <sheet name="TOP STAY ST" sheetId="6" r:id="rId5"/>
    <sheet name="TOP STAY SK" sheetId="8" r:id="rId6"/>
  </sheets>
  <definedNames>
    <definedName name="Z_947B752F_E4E5_4C5C_81CB_1317F626B06B_.wvu.Cols" localSheetId="2" hidden="1">'TOP STAY SE'!$I:$L</definedName>
    <definedName name="Z_947B752F_E4E5_4C5C_81CB_1317F626B06B_.wvu.Cols" localSheetId="1" hidden="1">'TOP STAY SF '!$G:$J</definedName>
    <definedName name="Z_947B752F_E4E5_4C5C_81CB_1317F626B06B_.wvu.Cols" localSheetId="5" hidden="1">'TOP STAY SK'!$I:$L</definedName>
    <definedName name="Z_947B752F_E4E5_4C5C_81CB_1317F626B06B_.wvu.Cols" localSheetId="0" hidden="1">'TOP STAY SQ NEW'!$G:$J</definedName>
    <definedName name="Z_947B752F_E4E5_4C5C_81CB_1317F626B06B_.wvu.Cols" localSheetId="4" hidden="1">'TOP STAY ST'!$I:$L</definedName>
  </definedNames>
  <calcPr calcId="162913" refMode="R1C1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7" l="1"/>
  <c r="I37" i="7"/>
  <c r="I36" i="7"/>
  <c r="I35" i="7"/>
  <c r="I34" i="7"/>
  <c r="I33" i="7"/>
  <c r="I32" i="7"/>
  <c r="I31" i="7"/>
  <c r="I30" i="7"/>
  <c r="L16" i="8" l="1"/>
  <c r="K16" i="8"/>
  <c r="K15" i="8"/>
  <c r="K14" i="8"/>
  <c r="K13" i="8"/>
  <c r="D13" i="8"/>
  <c r="I35" i="8" s="1"/>
  <c r="K12" i="8"/>
  <c r="K11" i="8"/>
  <c r="K10" i="8"/>
  <c r="K9" i="8"/>
  <c r="K8" i="8"/>
  <c r="L15" i="8" l="1"/>
  <c r="L14" i="8" s="1"/>
  <c r="L13" i="8" s="1"/>
  <c r="L12" i="8" s="1"/>
  <c r="L11" i="8" s="1"/>
  <c r="L10" i="8" s="1"/>
  <c r="L9" i="8" s="1"/>
  <c r="C13" i="8" s="1"/>
  <c r="I38" i="8"/>
  <c r="F37" i="8" s="1"/>
  <c r="F34" i="8"/>
  <c r="I37" i="8"/>
  <c r="F36" i="8" s="1"/>
  <c r="I36" i="8"/>
  <c r="F35" i="8" s="1"/>
  <c r="J33" i="8" l="1"/>
  <c r="G31" i="8" s="1"/>
  <c r="I33" i="8"/>
  <c r="F31" i="8" s="1"/>
  <c r="I18" i="8"/>
  <c r="F16" i="8" s="1"/>
  <c r="J32" i="8"/>
  <c r="G30" i="8" s="1"/>
  <c r="I32" i="8"/>
  <c r="F30" i="8" s="1"/>
  <c r="I31" i="8"/>
  <c r="F29" i="8" s="1"/>
  <c r="J31" i="8"/>
  <c r="G29" i="8" s="1"/>
  <c r="J30" i="8"/>
  <c r="G28" i="8" s="1"/>
  <c r="I30" i="8"/>
  <c r="F28" i="8" s="1"/>
  <c r="J29" i="8"/>
  <c r="G27" i="8" s="1"/>
  <c r="I29" i="8"/>
  <c r="F27" i="8" s="1"/>
  <c r="J28" i="8"/>
  <c r="G26" i="8" s="1"/>
  <c r="I28" i="8"/>
  <c r="F26" i="8" s="1"/>
  <c r="J27" i="8"/>
  <c r="G25" i="8" s="1"/>
  <c r="I27" i="8"/>
  <c r="F25" i="8" s="1"/>
  <c r="J26" i="8"/>
  <c r="G24" i="8" s="1"/>
  <c r="I26" i="8"/>
  <c r="F24" i="8" s="1"/>
  <c r="J25" i="8"/>
  <c r="G23" i="8" s="1"/>
  <c r="I25" i="8"/>
  <c r="F23" i="8" s="1"/>
  <c r="I20" i="8"/>
  <c r="F18" i="8" s="1"/>
  <c r="J24" i="8"/>
  <c r="G22" i="8" s="1"/>
  <c r="I24" i="8"/>
  <c r="F22" i="8" s="1"/>
  <c r="J20" i="8"/>
  <c r="G18" i="8" s="1"/>
  <c r="J18" i="8"/>
  <c r="G16" i="8" s="1"/>
  <c r="J23" i="8"/>
  <c r="G21" i="8" s="1"/>
  <c r="I23" i="8"/>
  <c r="F21" i="8" s="1"/>
  <c r="I21" i="8"/>
  <c r="F19" i="8" s="1"/>
  <c r="J22" i="8"/>
  <c r="G20" i="8" s="1"/>
  <c r="J19" i="8"/>
  <c r="G17" i="8" s="1"/>
  <c r="I22" i="8"/>
  <c r="F20" i="8" s="1"/>
  <c r="I19" i="8"/>
  <c r="F17" i="8" s="1"/>
  <c r="J21" i="8"/>
  <c r="G19" i="8" s="1"/>
  <c r="D13" i="6" l="1"/>
  <c r="K39" i="5" l="1"/>
  <c r="K38" i="5"/>
  <c r="K37" i="5"/>
  <c r="K36" i="5"/>
  <c r="K35" i="5"/>
  <c r="K34" i="5"/>
  <c r="K33" i="5"/>
  <c r="K32" i="5"/>
  <c r="K31" i="5"/>
  <c r="L39" i="5"/>
  <c r="L38" i="5" s="1"/>
  <c r="L37" i="5" s="1"/>
  <c r="L36" i="5" s="1"/>
  <c r="L35" i="5" s="1"/>
  <c r="L34" i="5" s="1"/>
  <c r="L33" i="5" s="1"/>
  <c r="L32" i="5" s="1"/>
  <c r="C36" i="5" s="1"/>
  <c r="E36" i="5" l="1"/>
  <c r="J41" i="5" l="1"/>
  <c r="I41" i="5"/>
  <c r="D38" i="5" s="1"/>
  <c r="J40" i="5"/>
  <c r="E38" i="5" s="1"/>
  <c r="I40" i="5"/>
  <c r="C38" i="5" s="1"/>
  <c r="F38" i="5"/>
  <c r="I16" i="7" l="1"/>
  <c r="J16" i="7" s="1"/>
  <c r="J15" i="7" s="1"/>
  <c r="I15" i="7"/>
  <c r="I14" i="7"/>
  <c r="I13" i="7"/>
  <c r="I12" i="7"/>
  <c r="I11" i="7"/>
  <c r="I10" i="7"/>
  <c r="I9" i="7"/>
  <c r="I8" i="7"/>
  <c r="J14" i="7" l="1"/>
  <c r="J13" i="7" s="1"/>
  <c r="J12" i="7" s="1"/>
  <c r="J11" i="7" s="1"/>
  <c r="J10" i="7" s="1"/>
  <c r="J9" i="7" s="1"/>
  <c r="L16" i="6"/>
  <c r="L15" i="6" s="1"/>
  <c r="L14" i="6" s="1"/>
  <c r="L13" i="6" s="1"/>
  <c r="K16" i="6"/>
  <c r="K15" i="6"/>
  <c r="K14" i="6"/>
  <c r="K13" i="6"/>
  <c r="K12" i="6"/>
  <c r="K11" i="6"/>
  <c r="K10" i="6"/>
  <c r="K9" i="6"/>
  <c r="K8" i="6"/>
  <c r="K16" i="5"/>
  <c r="L16" i="5" s="1"/>
  <c r="L15" i="5" s="1"/>
  <c r="K15" i="5"/>
  <c r="K14" i="5"/>
  <c r="K13" i="5"/>
  <c r="K12" i="5"/>
  <c r="K11" i="5"/>
  <c r="K10" i="5"/>
  <c r="K9" i="5"/>
  <c r="K8" i="5"/>
  <c r="J16" i="2"/>
  <c r="J15" i="2" s="1"/>
  <c r="I16" i="2"/>
  <c r="I15" i="2"/>
  <c r="I14" i="2"/>
  <c r="I13" i="2"/>
  <c r="I12" i="2"/>
  <c r="I11" i="2"/>
  <c r="I10" i="2"/>
  <c r="I9" i="2"/>
  <c r="I8" i="2"/>
  <c r="J38" i="7"/>
  <c r="J37" i="7" s="1"/>
  <c r="J36" i="7" s="1"/>
  <c r="J35" i="7" s="1"/>
  <c r="J34" i="7" s="1"/>
  <c r="J33" i="7" s="1"/>
  <c r="J32" i="7" s="1"/>
  <c r="J31" i="7" s="1"/>
  <c r="J14" i="2" l="1"/>
  <c r="J13" i="2" s="1"/>
  <c r="J12" i="2" s="1"/>
  <c r="J11" i="2" s="1"/>
  <c r="J10" i="2" s="1"/>
  <c r="J9" i="2" s="1"/>
  <c r="C13" i="2" s="1"/>
  <c r="D13" i="2" s="1"/>
  <c r="G17" i="2" s="1"/>
  <c r="L14" i="5"/>
  <c r="L13" i="5" s="1"/>
  <c r="L12" i="5" s="1"/>
  <c r="L11" i="5" s="1"/>
  <c r="L10" i="5" s="1"/>
  <c r="L9" i="5" s="1"/>
  <c r="C13" i="5" s="1"/>
  <c r="L12" i="6"/>
  <c r="L11" i="6" s="1"/>
  <c r="L10" i="6" s="1"/>
  <c r="L9" i="6" s="1"/>
  <c r="C13" i="7"/>
  <c r="D13" i="7" s="1"/>
  <c r="G17" i="7" s="1"/>
  <c r="C38" i="7"/>
  <c r="D38" i="7" s="1"/>
  <c r="G39" i="7" s="1"/>
  <c r="G18" i="2" l="1"/>
  <c r="H18" i="2"/>
  <c r="H17" i="2"/>
  <c r="D15" i="2" s="1"/>
  <c r="C15" i="2"/>
  <c r="H39" i="7"/>
  <c r="H40" i="7"/>
  <c r="D41" i="7" s="1"/>
  <c r="G40" i="7"/>
  <c r="C41" i="7" s="1"/>
  <c r="D40" i="7"/>
  <c r="H17" i="7"/>
  <c r="G18" i="7"/>
  <c r="H18" i="7"/>
  <c r="D16" i="2"/>
  <c r="C16" i="2"/>
  <c r="C40" i="7"/>
  <c r="C13" i="6"/>
  <c r="I17" i="6" s="1"/>
  <c r="E13" i="5"/>
  <c r="J18" i="5" l="1"/>
  <c r="F15" i="5" s="1"/>
  <c r="I18" i="5"/>
  <c r="D15" i="5" s="1"/>
  <c r="I17" i="5"/>
  <c r="C15" i="5" s="1"/>
  <c r="J17" i="5"/>
  <c r="E15" i="5" s="1"/>
  <c r="J34" i="6"/>
  <c r="I34" i="6"/>
  <c r="F33" i="6" s="1"/>
  <c r="J17" i="6"/>
  <c r="G16" i="6" s="1"/>
  <c r="J32" i="6"/>
  <c r="G31" i="6" s="1"/>
  <c r="J30" i="6"/>
  <c r="G29" i="6" s="1"/>
  <c r="I32" i="6"/>
  <c r="F31" i="6" s="1"/>
  <c r="I30" i="6"/>
  <c r="F29" i="6" s="1"/>
  <c r="I33" i="6"/>
  <c r="F32" i="6" s="1"/>
  <c r="J31" i="6"/>
  <c r="G30" i="6" s="1"/>
  <c r="J33" i="6"/>
  <c r="G32" i="6" s="1"/>
  <c r="I31" i="6"/>
  <c r="F30" i="6" s="1"/>
  <c r="J28" i="6"/>
  <c r="G27" i="6" s="1"/>
  <c r="I28" i="6"/>
  <c r="F27" i="6" s="1"/>
  <c r="J29" i="6"/>
  <c r="G28" i="6" s="1"/>
  <c r="I29" i="6"/>
  <c r="F28" i="6" s="1"/>
  <c r="J27" i="6"/>
  <c r="G26" i="6" s="1"/>
  <c r="J25" i="6"/>
  <c r="G24" i="6" s="1"/>
  <c r="I27" i="6"/>
  <c r="F26" i="6" s="1"/>
  <c r="I25" i="6"/>
  <c r="F24" i="6" s="1"/>
  <c r="I26" i="6"/>
  <c r="F25" i="6" s="1"/>
  <c r="J26" i="6"/>
  <c r="G25" i="6" s="1"/>
  <c r="J24" i="6"/>
  <c r="G23" i="6" s="1"/>
  <c r="J22" i="6"/>
  <c r="G21" i="6" s="1"/>
  <c r="I24" i="6"/>
  <c r="F23" i="6" s="1"/>
  <c r="I22" i="6"/>
  <c r="F21" i="6" s="1"/>
  <c r="J23" i="6"/>
  <c r="G22" i="6" s="1"/>
  <c r="I23" i="6"/>
  <c r="F22" i="6" s="1"/>
  <c r="J20" i="6"/>
  <c r="G19" i="6" s="1"/>
  <c r="I20" i="6"/>
  <c r="F19" i="6" s="1"/>
  <c r="J21" i="6"/>
  <c r="G20" i="6" s="1"/>
  <c r="I21" i="6"/>
  <c r="F20" i="6" s="1"/>
  <c r="J19" i="6"/>
  <c r="G18" i="6" s="1"/>
  <c r="I19" i="6"/>
  <c r="F18" i="6" s="1"/>
  <c r="J18" i="6"/>
  <c r="G17" i="6" s="1"/>
  <c r="I18" i="6"/>
  <c r="F17" i="6" s="1"/>
  <c r="F16" i="6"/>
  <c r="G33" i="6"/>
  <c r="C15" i="7" l="1"/>
  <c r="D16" i="7"/>
  <c r="C16" i="7"/>
  <c r="D15" i="7"/>
</calcChain>
</file>

<file path=xl/sharedStrings.xml><?xml version="1.0" encoding="utf-8"?>
<sst xmlns="http://schemas.openxmlformats.org/spreadsheetml/2006/main" count="381" uniqueCount="185">
  <si>
    <t>+</t>
  </si>
  <si>
    <t>Х</t>
  </si>
  <si>
    <t>480 - 1500</t>
  </si>
  <si>
    <t>750 - 2500</t>
  </si>
  <si>
    <t>1500 - 4900</t>
  </si>
  <si>
    <t>3200 - 9000</t>
  </si>
  <si>
    <t>500 - 1500</t>
  </si>
  <si>
    <t>200 - 1000</t>
  </si>
  <si>
    <t>960 - 2350</t>
  </si>
  <si>
    <t>480 - 529</t>
  </si>
  <si>
    <t>4,5 - 8,9</t>
  </si>
  <si>
    <t>8,7 - 14,4</t>
  </si>
  <si>
    <t>530 - 589</t>
  </si>
  <si>
    <t>590 - 649</t>
  </si>
  <si>
    <t>4,1 - 8,1</t>
  </si>
  <si>
    <t>9,6 - 16,0</t>
  </si>
  <si>
    <t>7,8 - 13,0</t>
  </si>
  <si>
    <t>3,7 - 7,2</t>
  </si>
  <si>
    <t>7,0 - 11,6</t>
  </si>
  <si>
    <t>11,5 - 19,8</t>
  </si>
  <si>
    <t>3,2 - 6,5</t>
  </si>
  <si>
    <t>6,3 - 10,6</t>
  </si>
  <si>
    <t>10,5 - 18,1</t>
  </si>
  <si>
    <t>9,5 - 16,5</t>
  </si>
  <si>
    <t>650 - 729</t>
  </si>
  <si>
    <t>730 - 799</t>
  </si>
  <si>
    <t>800 - 879</t>
  </si>
  <si>
    <t>5,2 - 8,8</t>
  </si>
  <si>
    <t>8,7 - 15,1</t>
  </si>
  <si>
    <t>880 - 959</t>
  </si>
  <si>
    <t>8,0 - 13,9</t>
  </si>
  <si>
    <t>960 - 1040</t>
  </si>
  <si>
    <t>5,0 - 10,0</t>
  </si>
  <si>
    <t>5,8 - 9,6</t>
  </si>
  <si>
    <t>4,8 - 8,1</t>
  </si>
  <si>
    <t>500 - 1400</t>
  </si>
  <si>
    <t>960 - 2050</t>
  </si>
  <si>
    <r>
      <rPr>
        <b/>
        <sz val="11"/>
        <color theme="2" tint="-0.749992370372631"/>
        <rFont val="Calibri"/>
        <family val="2"/>
        <charset val="204"/>
        <scheme val="minor"/>
      </rPr>
      <t>480 - 1250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</si>
  <si>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960 - 2350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</si>
  <si>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1600 - 3600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</si>
  <si>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2500 - 4500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</si>
  <si>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</si>
  <si>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</si>
  <si>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r>
      <rPr>
        <b/>
        <sz val="11"/>
        <color theme="2" tint="-0.749992370372631"/>
        <rFont val="Calibri"/>
        <family val="2"/>
        <charset val="204"/>
        <scheme val="minor"/>
      </rPr>
      <t>1060 - 2450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</si>
  <si>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1800 - 4000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500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</si>
  <si>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2600 - 5000</t>
    </r>
    <r>
      <rPr>
        <sz val="11"/>
        <color theme="2" tint="-0.749992370372631"/>
        <rFont val="Calibri"/>
        <family val="2"/>
        <charset val="204"/>
        <scheme val="minor"/>
      </rPr>
      <t>, h=250-6</t>
    </r>
    <r>
      <rPr>
        <sz val="11"/>
        <color theme="2" tint="-0.749992370372631"/>
        <rFont val="Calibri"/>
        <family val="2"/>
        <charset val="204"/>
      </rPr>
      <t>00 мм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</si>
  <si>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</t>
    </r>
    <r>
      <rPr>
        <b/>
        <sz val="26"/>
        <color theme="2" tint="-0.749992370372631"/>
        <rFont val="Segoe UI"/>
        <family val="2"/>
        <charset val="204"/>
      </rPr>
      <t xml:space="preserve"> </t>
    </r>
    <phoneticPr fontId="16" type="noConversion"/>
  </si>
  <si>
    <t>Счетчик списка SQ:</t>
  </si>
  <si>
    <t>Х</t>
    <phoneticPr fontId="16" type="noConversion"/>
  </si>
  <si>
    <t>ДСП 16 мм</t>
  </si>
  <si>
    <t>ДСП 18 мм</t>
  </si>
  <si>
    <t>МДФ 16 мм</t>
  </si>
  <si>
    <t>МДФ 18/19 мм</t>
  </si>
  <si>
    <t>МДФ 22 мм</t>
  </si>
  <si>
    <t>Массив дерева 16 мм</t>
  </si>
  <si>
    <t>Массив дерева 18 мм</t>
  </si>
  <si>
    <t>Массив дерева 22 мм</t>
  </si>
  <si>
    <t xml:space="preserve">Алюминиевая рамка со стеклом </t>
  </si>
  <si>
    <t>1. Введите размеры фасада и вес ручки: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</si>
  <si>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600)</t>
    </r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</si>
  <si>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</si>
  <si>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</si>
  <si>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t>Вес фасада, кг</t>
  </si>
  <si>
    <t>Индекс (LF)</t>
  </si>
  <si>
    <t>Пределы значений индекса, h max</t>
  </si>
  <si>
    <t>Среднее значение индекса</t>
  </si>
  <si>
    <t>Цвет заглушек</t>
  </si>
  <si>
    <t>www.dtcrussia.ru</t>
  </si>
  <si>
    <r>
      <t xml:space="preserve">С </t>
    </r>
    <r>
      <rPr>
        <b/>
        <sz val="11"/>
        <rFont val="Calibri"/>
        <family val="2"/>
        <charset val="204"/>
        <scheme val="minor"/>
      </rPr>
      <t xml:space="preserve">белыми </t>
    </r>
    <r>
      <rPr>
        <sz val="11"/>
        <color theme="2" tint="-0.749992370372631"/>
        <rFont val="Calibri"/>
        <family val="2"/>
        <charset val="204"/>
        <scheme val="minor"/>
      </rPr>
      <t>заглушками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</si>
  <si>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</si>
  <si>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Артикул механизма  (арт. белый / серый)</t>
  </si>
  <si>
    <t>Материал</t>
  </si>
  <si>
    <t>Вес 1м2</t>
  </si>
  <si>
    <t>Расчет</t>
  </si>
  <si>
    <t>Формула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</si>
  <si>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SQ NEW PUSH</t>
    </r>
    <r>
      <rPr>
        <b/>
        <sz val="26"/>
        <color theme="2" tint="-0.749992370372631"/>
        <rFont val="Segoe UI"/>
        <family val="2"/>
        <charset val="204"/>
      </rPr>
      <t xml:space="preserve"> </t>
    </r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</si>
  <si>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SQ NEW PUSH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</si>
  <si>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rPr>
        <b/>
        <sz val="11"/>
        <color theme="2" tint="-0.749992370372631"/>
        <rFont val="Calibri"/>
        <family val="2"/>
        <charset val="204"/>
        <scheme val="minor"/>
      </rPr>
      <t>580 - 1350</t>
    </r>
    <r>
      <rPr>
        <sz val="11"/>
        <color theme="2" tint="-0.749992370372631"/>
        <rFont val="Calibri"/>
        <family val="2"/>
        <charset val="204"/>
        <scheme val="minor"/>
      </rPr>
      <t>, h=250-</t>
    </r>
    <r>
      <rPr>
        <sz val="11"/>
        <color theme="2" tint="-0.749992370372631"/>
        <rFont val="Calibri"/>
        <family val="2"/>
        <charset val="204"/>
      </rPr>
      <t>400 мм</t>
    </r>
  </si>
  <si>
    <r>
      <rPr>
        <b/>
        <sz val="11"/>
        <color theme="0"/>
        <rFont val="Calibri"/>
        <family val="2"/>
        <charset val="204"/>
        <scheme val="minor"/>
      </rPr>
      <t>Артикул комплекта</t>
    </r>
    <r>
      <rPr>
        <sz val="11"/>
        <color theme="0"/>
        <rFont val="Calibri"/>
        <family val="2"/>
        <charset val="204"/>
        <scheme val="minor"/>
      </rPr>
      <t xml:space="preserve"> механизмов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</si>
  <si>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 xml:space="preserve">один </t>
    </r>
    <r>
      <rPr>
        <sz val="11"/>
        <color theme="0"/>
        <rFont val="Calibri"/>
        <family val="2"/>
        <charset val="204"/>
        <scheme val="minor"/>
      </rPr>
      <t xml:space="preserve">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</si>
  <si>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>один</t>
    </r>
    <r>
      <rPr>
        <sz val="11"/>
        <color theme="0"/>
        <rFont val="Calibri"/>
        <family val="2"/>
        <charset val="204"/>
        <scheme val="minor"/>
      </rPr>
      <t xml:space="preserve"> 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</si>
  <si>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t>Счетчик списка SF: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</si>
  <si>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SF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</si>
  <si>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Пределы значений индекса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</si>
  <si>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</si>
  <si>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SE PUSH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</si>
  <si>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Без ручки</t>
  </si>
  <si>
    <t>1. Введите размеры фасада:</t>
  </si>
  <si>
    <t>Счетчик списка SE:</t>
  </si>
  <si>
    <t>1 комплект "никель"</t>
  </si>
  <si>
    <t>2 комплекта "никель"</t>
  </si>
  <si>
    <t>1 комплект "черный"</t>
  </si>
  <si>
    <t>2 комплекта "черный"</t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</si>
  <si>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>веса, индекса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механизма.                         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1-го механизма.</t>
    </r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</si>
  <si>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>веса, индекса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получите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механизма.                         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1-го механизма.</t>
    </r>
  </si>
  <si>
    <t>Выберите артикул комплекта мханизма в нужном цвете покрытия</t>
  </si>
  <si>
    <t>Артикул механизма (арт. никель / черный)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</si>
  <si>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SE PUSH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</si>
  <si>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веса, индекса                                                          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механизмов.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2-х механизмов.</t>
    </r>
  </si>
  <si>
    <t>Артикул комплекта (арт. белый / серый)</t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</si>
  <si>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(0017408 / 0017409)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</si>
  <si>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"L" </t>
    </r>
    <r>
      <rPr>
        <sz val="11"/>
        <color theme="2" tint="-0.749992370372631"/>
        <rFont val="Calibri"/>
        <family val="2"/>
        <charset val="204"/>
        <scheme val="minor"/>
      </rPr>
      <t>слабый</t>
    </r>
    <r>
      <rPr>
        <b/>
        <sz val="11"/>
        <color theme="2" tint="-0.749992370372631"/>
        <rFont val="Calibri"/>
        <family val="2"/>
        <charset val="204"/>
        <scheme val="minor"/>
      </rPr>
      <t xml:space="preserve"> </t>
    </r>
    <r>
      <rPr>
        <sz val="11"/>
        <color theme="2" tint="-0.749992370372631"/>
        <rFont val="Calibri"/>
        <family val="2"/>
        <charset val="204"/>
        <scheme val="minor"/>
      </rPr>
      <t>(0017402 / 0017403)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</si>
  <si>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"M" </t>
    </r>
    <r>
      <rPr>
        <sz val="11"/>
        <color theme="2" tint="-0.749992370372631"/>
        <rFont val="Calibri"/>
        <family val="2"/>
        <charset val="204"/>
        <scheme val="minor"/>
      </rPr>
      <t>средний (0017404 / 0017405)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</si>
  <si>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"H"</t>
    </r>
    <r>
      <rPr>
        <sz val="11"/>
        <color theme="2" tint="-0.749992370372631"/>
        <rFont val="Calibri"/>
        <family val="2"/>
        <charset val="204"/>
        <scheme val="minor"/>
      </rPr>
      <t xml:space="preserve"> сильный (0017406 / 0017407)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</si>
  <si>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"L"</t>
    </r>
    <r>
      <rPr>
        <sz val="11"/>
        <color theme="2" tint="-0.749992370372631"/>
        <rFont val="Calibri"/>
        <family val="2"/>
        <charset val="204"/>
        <scheme val="minor"/>
      </rPr>
      <t xml:space="preserve"> слабый (0017393 / 0017394)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</si>
  <si>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SQ "M"</t>
    </r>
    <r>
      <rPr>
        <sz val="11"/>
        <color theme="2" tint="-0.749992370372631"/>
        <rFont val="Calibri"/>
        <family val="2"/>
        <charset val="204"/>
        <scheme val="minor"/>
      </rPr>
      <t>средний (0017396 / 0017397)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</si>
  <si>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"H" </t>
    </r>
    <r>
      <rPr>
        <sz val="11"/>
        <color theme="2" tint="-0.749992370372631"/>
        <rFont val="Calibri"/>
        <family val="2"/>
        <charset val="204"/>
        <scheme val="minor"/>
      </rPr>
      <t>сильный (0017398 / 0017399)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</si>
  <si>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SQ "С" </t>
    </r>
    <r>
      <rPr>
        <sz val="11"/>
        <color theme="2" tint="-0.749992370372631"/>
        <rFont val="Calibri"/>
        <family val="2"/>
        <charset val="204"/>
        <scheme val="minor"/>
      </rPr>
      <t>очень сильный (0017400 / 0017401)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</si>
  <si>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"L" </t>
    </r>
    <r>
      <rPr>
        <sz val="11"/>
        <color theme="2" tint="-0.749992370372631"/>
        <rFont val="Calibri"/>
        <family val="2"/>
        <charset val="204"/>
        <scheme val="minor"/>
      </rPr>
      <t>слабый  (0016697 / 0016701)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</si>
  <si>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"M" </t>
    </r>
    <r>
      <rPr>
        <sz val="11"/>
        <color theme="2" tint="-0.749992370372631"/>
        <rFont val="Calibri"/>
        <family val="2"/>
        <charset val="204"/>
        <scheme val="minor"/>
      </rPr>
      <t>средний (0016698 / 0016702)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</si>
  <si>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"H" </t>
    </r>
    <r>
      <rPr>
        <sz val="11"/>
        <color theme="2" tint="-0.749992370372631"/>
        <rFont val="Calibri"/>
        <family val="2"/>
        <charset val="204"/>
        <scheme val="minor"/>
      </rPr>
      <t>сильный (0016699 / 0016703)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</si>
  <si>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SF "H"</t>
    </r>
    <r>
      <rPr>
        <sz val="11"/>
        <color theme="2" tint="-0.749992370372631"/>
        <rFont val="Calibri"/>
        <family val="2"/>
        <charset val="204"/>
        <scheme val="minor"/>
      </rPr>
      <t xml:space="preserve"> очень сильный (0016700 / 0016704)</t>
    </r>
  </si>
  <si>
    <t>ТOP STAY ST (01AM) средний</t>
  </si>
  <si>
    <t>ТOP STAY ST (02AM) средний</t>
  </si>
  <si>
    <t>ТOP STAY ST (03AM) средний</t>
  </si>
  <si>
    <t>ТOP STAY ST (04AM) средний</t>
  </si>
  <si>
    <t>ТOP STAY ST (05AM) средний</t>
  </si>
  <si>
    <t>ТOP STAY ST (06AM) средний</t>
  </si>
  <si>
    <t>ТOP STAY ST (07AM) средний</t>
  </si>
  <si>
    <t>ТOP STAY ST (01AL) слабый</t>
  </si>
  <si>
    <t>ТOP STAY ST (02AL) слабый</t>
  </si>
  <si>
    <t>ТOP STAY ST (03AL) слабый</t>
  </si>
  <si>
    <t>ТOP STAY ST (04AL) слабый</t>
  </si>
  <si>
    <t>ТOP STAY ST (04AH) сильный</t>
  </si>
  <si>
    <t>ТOP STAY ST (05AL) слабый</t>
  </si>
  <si>
    <t>ТOP STAY ST (05AH) сильный</t>
  </si>
  <si>
    <t>ТOP STAY ST (06AH) сильный</t>
  </si>
  <si>
    <t>ТOP STAY ST (07AH) сильный</t>
  </si>
  <si>
    <t>ТOP STAY ST (08AM) сильный</t>
  </si>
  <si>
    <t>ТOP STAY ST (08AH) сильный</t>
  </si>
  <si>
    <t>Комплект механизмов</t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</si>
  <si>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720)</t>
    </r>
  </si>
  <si>
    <t>2. Из раскрывающегося списка выберите материал фасада и получите вес фасада</t>
  </si>
  <si>
    <t>Высота, мм</t>
  </si>
  <si>
    <t>3. Получите артикул и название комплекта механизмов TOP STAYS ST соответствующего полученному значению веса фасада и его высоты. Значения веса и высоты фасада должны попадать в пределы значений для отдельного артикула механизма. Чем ближе ваши значения к средним значениям веса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</si>
  <si>
    <t>Артикул с белыми заглушками</t>
  </si>
  <si>
    <r>
      <rPr>
        <b/>
        <sz val="26"/>
        <color theme="2" tint="-0.499984740745262"/>
        <rFont val="Segoe UI"/>
        <family val="2"/>
        <charset val="204"/>
      </rPr>
      <t xml:space="preserve">   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ST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</si>
  <si>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Счетчик списка ST:</t>
  </si>
  <si>
    <r>
      <t xml:space="preserve">С </t>
    </r>
    <r>
      <rPr>
        <b/>
        <sz val="11"/>
        <color theme="0" tint="-4.9989318521683403E-2"/>
        <rFont val="Calibri"/>
        <family val="2"/>
        <charset val="204"/>
        <scheme val="minor"/>
      </rPr>
      <t>серыми</t>
    </r>
    <r>
      <rPr>
        <sz val="11"/>
        <color theme="0" tint="-4.9989318521683403E-2"/>
        <rFont val="Calibri"/>
        <family val="2"/>
        <charset val="204"/>
        <scheme val="minor"/>
      </rPr>
      <t xml:space="preserve"> заглушками</t>
    </r>
  </si>
  <si>
    <t>Артикул с серыми заглушками</t>
  </si>
  <si>
    <r>
      <rPr>
        <b/>
        <sz val="26"/>
        <color theme="2" tint="-0.499984740745262"/>
        <rFont val="Segoe UI"/>
        <family val="2"/>
        <charset val="204"/>
      </rPr>
      <t xml:space="preserve">   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SK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</si>
  <si>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ТOP STAY SK (L) слабый</t>
  </si>
  <si>
    <t>ТOP STAY SK (D) очень слабый</t>
  </si>
  <si>
    <t>ТOP STAY SK (M) средний</t>
  </si>
  <si>
    <t>ТOP STAY SK (H) сильный</t>
  </si>
  <si>
    <t>ТOP STAY SK (С) очень сильный</t>
  </si>
  <si>
    <t>Высота 2-х створок, мм</t>
  </si>
  <si>
    <r>
      <rPr>
        <b/>
        <sz val="11"/>
        <color theme="2" tint="-0.749992370372631"/>
        <rFont val="Calibri"/>
        <family val="2"/>
        <charset val="204"/>
        <scheme val="minor"/>
      </rPr>
      <t>Общая высота 2-х створок</t>
    </r>
    <r>
      <rPr>
        <sz val="11"/>
        <color theme="2" tint="-0.749992370372631"/>
        <rFont val="Calibri"/>
        <family val="2"/>
        <charset val="204"/>
        <scheme val="minor"/>
      </rPr>
      <t xml:space="preserve">, мм (max. 1040) 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</si>
  <si>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 фасада</t>
    </r>
    <r>
      <rPr>
        <sz val="11"/>
        <color theme="2" tint="-0.749992370372631"/>
        <rFont val="Calibri"/>
        <family val="2"/>
        <charset val="204"/>
        <scheme val="minor"/>
      </rPr>
      <t xml:space="preserve">, мм (max. 580) </t>
    </r>
  </si>
  <si>
    <t>Высота фасада, мм</t>
  </si>
  <si>
    <t>300 - 349</t>
  </si>
  <si>
    <t>1,3 - 4,2</t>
  </si>
  <si>
    <t>350 - 399</t>
  </si>
  <si>
    <t>400 - 550</t>
  </si>
  <si>
    <t>1,5 - 2,5</t>
  </si>
  <si>
    <t>3,5 - 7,2</t>
  </si>
  <si>
    <t xml:space="preserve">2,5 - 5,0 </t>
  </si>
  <si>
    <t>2,0 - 3,5</t>
  </si>
  <si>
    <t>450 - 580</t>
  </si>
  <si>
    <t>6,5 - 12,0</t>
  </si>
  <si>
    <t>4,5 - 9,0</t>
  </si>
  <si>
    <t>2,8 - 6,5</t>
  </si>
  <si>
    <t>2,0 - 5,2</t>
  </si>
  <si>
    <t>11,0 - 20,0</t>
  </si>
  <si>
    <t xml:space="preserve">8,0 - 14,5 </t>
  </si>
  <si>
    <t>5,8 - 11,5</t>
  </si>
  <si>
    <t>4,2 - 9,2</t>
  </si>
  <si>
    <t>13,5 - 20,0</t>
  </si>
  <si>
    <t xml:space="preserve">10,5 -20,0 </t>
  </si>
  <si>
    <t>8,3 - 16,5</t>
  </si>
  <si>
    <t>4. Получите артикул комплекта рычагов TOP STAYS SK соответствующего полученному значению высоты фасада, и добавьте их к заказу. Для удобства регулировки выбирайте комплект рычагов ближе подходящий к среднему значению диапазона высот.</t>
  </si>
  <si>
    <t>Комплект рычагов ТOP STAY SK 300-349</t>
  </si>
  <si>
    <t>Комплект рычагов ТOP STAY SK 350-399</t>
  </si>
  <si>
    <t>Комплект рычагов ТOP STAY SK 400-550</t>
  </si>
  <si>
    <t>Комплект рычагов ТOP STAY SK 450-580</t>
  </si>
  <si>
    <t>Артикул:</t>
  </si>
  <si>
    <t>Комплект рычагов</t>
  </si>
  <si>
    <r>
      <t xml:space="preserve">3. Получите артикул и название комплекта механизмов TOP STAYS SK соответствующего полученному значению веса фасада и его высоты. Значения веса и высоты фасада должны попадать в пределы значений для отдельного артикула механизма. </t>
    </r>
    <r>
      <rPr>
        <b/>
        <sz val="11"/>
        <color theme="0" tint="-4.9989318521683403E-2"/>
        <rFont val="Calibri"/>
        <family val="2"/>
        <charset val="204"/>
        <scheme val="minor"/>
      </rPr>
      <t>Чем ближе ваши значения к средним значениям веса</t>
    </r>
    <r>
      <rPr>
        <sz val="11"/>
        <color theme="0" tint="-4.9989318521683403E-2"/>
        <rFont val="Calibri"/>
        <family val="2"/>
        <charset val="204"/>
        <scheme val="minor"/>
      </rPr>
      <t xml:space="preserve"> и высоты, тем проще будет осуществляться регулировка механизма. При значениях веса близких к границе диапазона работы модели механизма, выбирайте модель рассчитанную на больший вес.</t>
    </r>
  </si>
  <si>
    <t>В случае отсутствя ручки требуется смещение присадки механизма вниз от 40 мм до 80 мм в зависамости от высоты модуля!</t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</si>
  <si>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"L" </t>
    </r>
    <r>
      <rPr>
        <sz val="11"/>
        <color theme="2" tint="-0.749992370372631"/>
        <rFont val="Calibri"/>
        <family val="2"/>
        <charset val="204"/>
        <scheme val="minor"/>
      </rPr>
      <t>слабый (0023377 / 0023378)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</si>
  <si>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"M" </t>
    </r>
    <r>
      <rPr>
        <sz val="11"/>
        <color theme="2" tint="-0.749992370372631"/>
        <rFont val="Calibri"/>
        <family val="2"/>
        <charset val="204"/>
        <scheme val="minor"/>
      </rPr>
      <t>средний (0023379 / 0023381)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</si>
  <si>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"H" </t>
    </r>
    <r>
      <rPr>
        <sz val="11"/>
        <color theme="2" tint="-0.749992370372631"/>
        <rFont val="Calibri"/>
        <family val="2"/>
        <charset val="204"/>
        <scheme val="minor"/>
      </rPr>
      <t>сильный (0023383 / 0023384)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</si>
  <si>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"L" </t>
    </r>
    <r>
      <rPr>
        <sz val="11"/>
        <color theme="2" tint="-0.749992370372631"/>
        <rFont val="Calibri"/>
        <family val="2"/>
        <charset val="204"/>
        <scheme val="minor"/>
      </rPr>
      <t>слабый (0023371/ 0023372)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</si>
  <si>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"M" </t>
    </r>
    <r>
      <rPr>
        <sz val="11"/>
        <color theme="2" tint="-0.749992370372631"/>
        <rFont val="Calibri"/>
        <family val="2"/>
        <charset val="204"/>
        <scheme val="minor"/>
      </rPr>
      <t>средний (0023373 / 0023374)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</si>
  <si>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SE "H" </t>
    </r>
    <r>
      <rPr>
        <sz val="11"/>
        <color theme="2" tint="-0.749992370372631"/>
        <rFont val="Calibri"/>
        <family val="2"/>
        <charset val="204"/>
        <scheme val="minor"/>
      </rPr>
      <t>сильный  (0023375 / 0023376)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</si>
</sst>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sz val="11"/>
      <color theme="2" tint="-0.749992370372631"/>
      <name val="Calibr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3"/>
      <charset val="13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3"/>
      <charset val="134"/>
      <scheme val="minor"/>
    </font>
    <font>
      <sz val="14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2" tint="-9.9978637043366805E-2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1" xfId="0" applyBorder="1"/>
    <xf numFmtId="0" fontId="5" fillId="5" borderId="7" xfId="2" applyFont="1" applyFill="1" applyBorder="1" applyAlignment="1" applyProtection="1">
      <alignment horizontal="center" vertical="center"/>
      <protection hidden="1"/>
    </xf>
    <xf numFmtId="0" fontId="5" fillId="5" borderId="1" xfId="1" applyFont="1" applyFill="1" applyBorder="1" applyAlignment="1" applyProtection="1">
      <alignment horizontal="center"/>
      <protection hidden="1"/>
    </xf>
    <xf numFmtId="0" fontId="5" fillId="5" borderId="10" xfId="1" applyFont="1" applyFill="1" applyBorder="1" applyAlignment="1" applyProtection="1">
      <alignment horizontal="center"/>
      <protection hidden="1"/>
    </xf>
    <xf numFmtId="0" fontId="5" fillId="5" borderId="15" xfId="2" applyFont="1" applyFill="1" applyBorder="1" applyAlignment="1" applyProtection="1">
      <alignment horizontal="center" vertical="center"/>
      <protection hidden="1"/>
    </xf>
    <xf numFmtId="0" fontId="5" fillId="5" borderId="2" xfId="2" applyFont="1" applyFill="1" applyBorder="1" applyAlignment="1" applyProtection="1">
      <alignment horizontal="center" vertical="center"/>
      <protection hidden="1"/>
    </xf>
    <xf numFmtId="0" fontId="5" fillId="0" borderId="9" xfId="1" applyFont="1" applyFill="1" applyBorder="1" applyAlignment="1" applyProtection="1">
      <alignment horizontal="center" vertical="center"/>
      <protection locked="0"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5" fillId="5" borderId="7" xfId="1" applyFont="1" applyFill="1" applyBorder="1" applyAlignment="1" applyProtection="1">
      <alignment horizontal="left" vertical="center"/>
      <protection hidden="1"/>
    </xf>
    <xf numFmtId="0" fontId="5" fillId="5" borderId="9" xfId="1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Protection="1">
      <protection locked="0" hidden="1"/>
    </xf>
    <xf numFmtId="0" fontId="20" fillId="0" borderId="0" xfId="2" applyFont="1" applyFill="1" applyBorder="1" applyAlignment="1" applyProtection="1">
      <alignment horizontal="center" vertical="center"/>
      <protection hidden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20" fillId="0" borderId="0" xfId="2" applyFont="1" applyFill="1" applyBorder="1" applyAlignment="1" applyProtection="1">
      <alignment horizontal="center" vertical="center" wrapText="1"/>
      <protection hidden="1"/>
    </xf>
    <xf numFmtId="0" fontId="19" fillId="7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5" borderId="1" xfId="1" applyFont="1" applyFill="1" applyBorder="1" applyAlignment="1" applyProtection="1">
      <alignment horizontal="center"/>
      <protection hidden="1"/>
    </xf>
    <xf numFmtId="0" fontId="6" fillId="5" borderId="10" xfId="1" applyFont="1" applyFill="1" applyBorder="1" applyAlignment="1" applyProtection="1">
      <alignment horizontal="center"/>
      <protection hidden="1"/>
    </xf>
    <xf numFmtId="0" fontId="5" fillId="5" borderId="16" xfId="2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0" fontId="23" fillId="4" borderId="7" xfId="1" applyFont="1" applyFill="1" applyBorder="1" applyAlignment="1" applyProtection="1">
      <alignment horizontal="center" vertical="center" wrapText="1"/>
      <protection hidden="1"/>
    </xf>
    <xf numFmtId="0" fontId="23" fillId="4" borderId="9" xfId="1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5" fillId="5" borderId="1" xfId="1" applyFont="1" applyFill="1" applyBorder="1" applyAlignment="1" applyProtection="1">
      <alignment horizontal="center" vertical="center"/>
      <protection hidden="1"/>
    </xf>
    <xf numFmtId="0" fontId="6" fillId="0" borderId="3" xfId="1" applyFont="1" applyFill="1" applyBorder="1" applyAlignment="1" applyProtection="1">
      <alignment horizontal="center" vertical="center"/>
      <protection locked="0" hidden="1"/>
    </xf>
    <xf numFmtId="0" fontId="6" fillId="0" borderId="12" xfId="1" applyFont="1" applyFill="1" applyBorder="1" applyAlignment="1" applyProtection="1">
      <alignment horizontal="center" vertical="center"/>
      <protection locked="0" hidden="1"/>
    </xf>
    <xf numFmtId="0" fontId="6" fillId="0" borderId="34" xfId="1" applyFont="1" applyFill="1" applyBorder="1" applyAlignment="1" applyProtection="1">
      <alignment horizontal="center" vertical="center"/>
      <protection locked="0"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/>
      <protection hidden="1"/>
    </xf>
    <xf numFmtId="2" fontId="6" fillId="5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/>
    <xf numFmtId="0" fontId="5" fillId="0" borderId="12" xfId="1" applyFont="1" applyFill="1" applyBorder="1" applyAlignment="1" applyProtection="1">
      <alignment horizontal="center" vertical="center"/>
      <protection locked="0" hidden="1"/>
    </xf>
    <xf numFmtId="0" fontId="5" fillId="0" borderId="3" xfId="1" applyFont="1" applyFill="1" applyBorder="1" applyAlignment="1" applyProtection="1">
      <alignment horizontal="center" vertical="center"/>
      <protection locked="0" hidden="1"/>
    </xf>
    <xf numFmtId="0" fontId="5" fillId="0" borderId="34" xfId="1" applyFont="1" applyFill="1" applyBorder="1" applyAlignment="1" applyProtection="1">
      <alignment horizontal="center" vertical="center"/>
      <protection locked="0" hidden="1"/>
    </xf>
    <xf numFmtId="0" fontId="19" fillId="9" borderId="10" xfId="0" applyFont="1" applyFill="1" applyBorder="1" applyAlignment="1">
      <alignment horizontal="center" vertical="center" wrapText="1"/>
    </xf>
    <xf numFmtId="0" fontId="5" fillId="5" borderId="7" xfId="2" applyFont="1" applyFill="1" applyBorder="1" applyAlignment="1" applyProtection="1">
      <alignment horizontal="left" vertical="center"/>
      <protection hidden="1"/>
    </xf>
    <xf numFmtId="0" fontId="18" fillId="1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 applyProtection="1">
      <alignment horizontal="center" vertical="center"/>
      <protection hidden="1"/>
    </xf>
    <xf numFmtId="0" fontId="5" fillId="5" borderId="1" xfId="2" applyFont="1" applyFill="1" applyBorder="1" applyAlignment="1" applyProtection="1">
      <alignment horizontal="left" vertical="center"/>
      <protection hidden="1"/>
    </xf>
    <xf numFmtId="0" fontId="5" fillId="5" borderId="1" xfId="1" applyFont="1" applyFill="1" applyBorder="1" applyAlignment="1" applyProtection="1">
      <alignment horizontal="left" vertical="center"/>
      <protection hidden="1"/>
    </xf>
    <xf numFmtId="0" fontId="19" fillId="8" borderId="1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5" fillId="5" borderId="10" xfId="1" applyFont="1" applyFill="1" applyBorder="1" applyAlignment="1" applyProtection="1">
      <alignment horizontal="left" vertical="center"/>
      <protection hidden="1"/>
    </xf>
    <xf numFmtId="0" fontId="19" fillId="8" borderId="10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Border="1"/>
    <xf numFmtId="0" fontId="0" fillId="0" borderId="0" xfId="0" applyBorder="1" applyProtection="1">
      <protection locked="0" hidden="1"/>
    </xf>
    <xf numFmtId="0" fontId="5" fillId="5" borderId="3" xfId="1" applyFont="1" applyFill="1" applyBorder="1" applyAlignment="1" applyProtection="1">
      <alignment horizontal="left" vertical="center"/>
      <protection hidden="1"/>
    </xf>
    <xf numFmtId="0" fontId="6" fillId="5" borderId="3" xfId="1" applyFont="1" applyFill="1" applyBorder="1" applyAlignment="1" applyProtection="1">
      <alignment horizontal="center"/>
      <protection hidden="1"/>
    </xf>
    <xf numFmtId="0" fontId="19" fillId="8" borderId="3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2" fontId="5" fillId="9" borderId="1" xfId="0" applyNumberFormat="1" applyFont="1" applyFill="1" applyBorder="1" applyAlignment="1" applyProtection="1">
      <alignment horizontal="center" vertical="center"/>
      <protection hidden="1"/>
    </xf>
    <xf numFmtId="2" fontId="23" fillId="10" borderId="1" xfId="0" applyNumberFormat="1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 applyProtection="1">
      <alignment horizontal="center"/>
      <protection hidden="1"/>
    </xf>
    <xf numFmtId="0" fontId="6" fillId="5" borderId="8" xfId="1" applyFont="1" applyFill="1" applyBorder="1" applyAlignment="1" applyProtection="1">
      <alignment horizontal="center"/>
      <protection hidden="1"/>
    </xf>
    <xf numFmtId="0" fontId="6" fillId="5" borderId="10" xfId="1" applyFont="1" applyFill="1" applyBorder="1" applyAlignment="1" applyProtection="1">
      <alignment horizontal="center"/>
      <protection hidden="1"/>
    </xf>
    <xf numFmtId="0" fontId="6" fillId="5" borderId="11" xfId="1" applyFont="1" applyFill="1" applyBorder="1" applyAlignment="1" applyProtection="1">
      <alignment horizontal="center"/>
      <protection hidden="1"/>
    </xf>
    <xf numFmtId="0" fontId="10" fillId="0" borderId="23" xfId="3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7" fillId="4" borderId="35" xfId="1" applyFont="1" applyFill="1" applyBorder="1" applyAlignment="1" applyProtection="1">
      <alignment horizontal="center" vertical="center" wrapText="1"/>
      <protection hidden="1"/>
    </xf>
    <xf numFmtId="0" fontId="7" fillId="4" borderId="32" xfId="1" applyFont="1" applyFill="1" applyBorder="1" applyAlignment="1" applyProtection="1">
      <alignment horizontal="center" vertical="center" wrapText="1"/>
      <protection hidden="1"/>
    </xf>
    <xf numFmtId="0" fontId="7" fillId="4" borderId="33" xfId="1" applyFont="1" applyFill="1" applyBorder="1" applyAlignment="1" applyProtection="1">
      <alignment horizontal="center" vertical="center" wrapText="1"/>
      <protection hidden="1"/>
    </xf>
    <xf numFmtId="0" fontId="26" fillId="4" borderId="7" xfId="1" applyFont="1" applyFill="1" applyBorder="1" applyAlignment="1" applyProtection="1">
      <alignment horizontal="center"/>
      <protection hidden="1"/>
    </xf>
    <xf numFmtId="0" fontId="5" fillId="5" borderId="1" xfId="2" applyFont="1" applyFill="1" applyBorder="1" applyAlignment="1" applyProtection="1">
      <alignment horizontal="center" vertical="center"/>
      <protection hidden="1"/>
    </xf>
    <xf numFmtId="0" fontId="5" fillId="5" borderId="8" xfId="2" applyFont="1" applyFill="1" applyBorder="1" applyAlignment="1" applyProtection="1">
      <alignment horizontal="center" vertical="center"/>
      <protection hidden="1"/>
    </xf>
    <xf numFmtId="1" fontId="6" fillId="5" borderId="1" xfId="0" applyNumberFormat="1" applyFont="1" applyFill="1" applyBorder="1" applyAlignment="1" applyProtection="1">
      <alignment horizontal="center" vertical="center"/>
      <protection hidden="1"/>
    </xf>
    <xf numFmtId="1" fontId="6" fillId="5" borderId="8" xfId="0" applyNumberFormat="1" applyFont="1" applyFill="1" applyBorder="1" applyAlignment="1" applyProtection="1">
      <alignment horizontal="center" vertical="center"/>
      <protection hidden="1"/>
    </xf>
    <xf numFmtId="0" fontId="8" fillId="4" borderId="18" xfId="1" applyFont="1" applyFill="1" applyBorder="1" applyAlignment="1" applyProtection="1">
      <alignment horizontal="center" vertical="center"/>
      <protection hidden="1"/>
    </xf>
    <xf numFmtId="0" fontId="8" fillId="4" borderId="19" xfId="1" applyFont="1" applyFill="1" applyBorder="1" applyAlignment="1" applyProtection="1">
      <alignment horizontal="center" vertical="center"/>
      <protection hidden="1"/>
    </xf>
    <xf numFmtId="0" fontId="8" fillId="4" borderId="20" xfId="1" applyFont="1" applyFill="1" applyBorder="1" applyAlignment="1" applyProtection="1">
      <alignment horizontal="center" vertical="center"/>
      <protection hidden="1"/>
    </xf>
    <xf numFmtId="0" fontId="7" fillId="4" borderId="28" xfId="1" applyFont="1" applyFill="1" applyBorder="1" applyAlignment="1" applyProtection="1">
      <alignment horizontal="center" vertical="center" wrapText="1"/>
      <protection hidden="1"/>
    </xf>
    <xf numFmtId="0" fontId="7" fillId="4" borderId="29" xfId="1" applyFont="1" applyFill="1" applyBorder="1" applyAlignment="1" applyProtection="1">
      <alignment horizontal="center" vertical="center" wrapText="1"/>
      <protection hidden="1"/>
    </xf>
    <xf numFmtId="0" fontId="7" fillId="4" borderId="30" xfId="1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4" borderId="23" xfId="1" applyFont="1" applyFill="1" applyBorder="1" applyAlignment="1" applyProtection="1">
      <alignment horizontal="center" vertical="center"/>
      <protection hidden="1"/>
    </xf>
    <xf numFmtId="0" fontId="8" fillId="4" borderId="25" xfId="1" applyFont="1" applyFill="1" applyBorder="1" applyAlignment="1" applyProtection="1">
      <alignment horizontal="center" vertical="center"/>
      <protection hidden="1"/>
    </xf>
    <xf numFmtId="0" fontId="8" fillId="4" borderId="26" xfId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7" fillId="4" borderId="28" xfId="1" applyFont="1" applyFill="1" applyBorder="1" applyAlignment="1" applyProtection="1">
      <alignment horizontal="center" vertical="center"/>
      <protection hidden="1"/>
    </xf>
    <xf numFmtId="0" fontId="7" fillId="4" borderId="29" xfId="1" applyFont="1" applyFill="1" applyBorder="1" applyAlignment="1" applyProtection="1">
      <alignment horizontal="center" vertical="center"/>
      <protection hidden="1"/>
    </xf>
    <xf numFmtId="0" fontId="7" fillId="4" borderId="30" xfId="1" applyFont="1" applyFill="1" applyBorder="1" applyAlignment="1" applyProtection="1">
      <alignment horizontal="center" vertical="center"/>
      <protection hidden="1"/>
    </xf>
    <xf numFmtId="0" fontId="6" fillId="5" borderId="1" xfId="1" applyFont="1" applyFill="1" applyBorder="1" applyAlignment="1" applyProtection="1">
      <alignment horizontal="center" vertical="center"/>
      <protection hidden="1"/>
    </xf>
    <xf numFmtId="0" fontId="6" fillId="5" borderId="8" xfId="1" applyFont="1" applyFill="1" applyBorder="1" applyAlignment="1" applyProtection="1">
      <alignment horizontal="center" vertical="center"/>
      <protection hidden="1"/>
    </xf>
    <xf numFmtId="0" fontId="6" fillId="5" borderId="10" xfId="1" applyFont="1" applyFill="1" applyBorder="1" applyAlignment="1" applyProtection="1">
      <alignment horizontal="center" vertical="center"/>
      <protection hidden="1"/>
    </xf>
    <xf numFmtId="0" fontId="6" fillId="5" borderId="11" xfId="1" applyFont="1" applyFill="1" applyBorder="1" applyAlignment="1" applyProtection="1">
      <alignment horizontal="center" vertical="center"/>
      <protection hidden="1"/>
    </xf>
    <xf numFmtId="0" fontId="14" fillId="0" borderId="23" xfId="0" applyFont="1" applyBorder="1" applyAlignment="1" applyProtection="1">
      <alignment horizontal="left" vertical="center"/>
      <protection hidden="1"/>
    </xf>
    <xf numFmtId="0" fontId="11" fillId="0" borderId="24" xfId="0" applyFont="1" applyBorder="1" applyAlignment="1" applyProtection="1">
      <alignment horizontal="left" vertical="center"/>
      <protection hidden="1"/>
    </xf>
    <xf numFmtId="0" fontId="11" fillId="0" borderId="21" xfId="0" applyFont="1" applyBorder="1" applyAlignment="1" applyProtection="1">
      <alignment horizontal="left" vertical="center"/>
      <protection hidden="1"/>
    </xf>
    <xf numFmtId="0" fontId="11" fillId="0" borderId="25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1" fillId="0" borderId="22" xfId="0" applyFont="1" applyBorder="1" applyAlignment="1" applyProtection="1">
      <alignment horizontal="left" vertical="center"/>
      <protection hidden="1"/>
    </xf>
    <xf numFmtId="0" fontId="11" fillId="0" borderId="26" xfId="0" applyFont="1" applyBorder="1" applyAlignment="1" applyProtection="1">
      <alignment horizontal="left" vertical="center"/>
      <protection hidden="1"/>
    </xf>
    <xf numFmtId="0" fontId="11" fillId="0" borderId="17" xfId="0" applyFont="1" applyBorder="1" applyAlignment="1" applyProtection="1">
      <alignment horizontal="left" vertical="center"/>
      <protection hidden="1"/>
    </xf>
    <xf numFmtId="0" fontId="11" fillId="0" borderId="27" xfId="0" applyFont="1" applyBorder="1" applyAlignment="1" applyProtection="1">
      <alignment horizontal="left" vertical="center"/>
      <protection hidden="1"/>
    </xf>
    <xf numFmtId="0" fontId="5" fillId="5" borderId="44" xfId="2" applyFont="1" applyFill="1" applyBorder="1" applyAlignment="1" applyProtection="1">
      <alignment horizontal="center" vertical="center"/>
      <protection hidden="1"/>
    </xf>
    <xf numFmtId="0" fontId="5" fillId="5" borderId="45" xfId="2" applyFont="1" applyFill="1" applyBorder="1" applyAlignment="1" applyProtection="1">
      <alignment horizontal="center" vertical="center"/>
      <protection hidden="1"/>
    </xf>
    <xf numFmtId="0" fontId="5" fillId="5" borderId="46" xfId="2" applyFont="1" applyFill="1" applyBorder="1" applyAlignment="1" applyProtection="1">
      <alignment horizontal="center" vertical="center"/>
      <protection hidden="1"/>
    </xf>
    <xf numFmtId="0" fontId="5" fillId="5" borderId="27" xfId="2" applyFont="1" applyFill="1" applyBorder="1" applyAlignment="1" applyProtection="1">
      <alignment horizontal="center" vertical="center"/>
      <protection hidden="1"/>
    </xf>
    <xf numFmtId="0" fontId="9" fillId="5" borderId="0" xfId="2" applyFont="1" applyFill="1" applyBorder="1" applyAlignment="1" applyProtection="1">
      <alignment horizontal="center" vertical="center"/>
      <protection hidden="1"/>
    </xf>
    <xf numFmtId="0" fontId="3" fillId="4" borderId="7" xfId="1" applyFill="1" applyBorder="1" applyAlignment="1" applyProtection="1">
      <alignment horizontal="center"/>
      <protection hidden="1"/>
    </xf>
    <xf numFmtId="0" fontId="11" fillId="0" borderId="23" xfId="0" applyFont="1" applyBorder="1" applyAlignment="1" applyProtection="1">
      <alignment horizontal="left" vertical="center"/>
      <protection hidden="1"/>
    </xf>
    <xf numFmtId="0" fontId="28" fillId="6" borderId="1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5" fillId="5" borderId="37" xfId="2" applyFont="1" applyFill="1" applyBorder="1" applyAlignment="1" applyProtection="1">
      <alignment horizontal="center" vertical="center"/>
      <protection hidden="1"/>
    </xf>
    <xf numFmtId="0" fontId="5" fillId="5" borderId="31" xfId="2" applyFont="1" applyFill="1" applyBorder="1" applyAlignment="1" applyProtection="1">
      <alignment horizontal="center" vertical="center"/>
      <protection hidden="1"/>
    </xf>
    <xf numFmtId="0" fontId="5" fillId="5" borderId="37" xfId="1" applyFont="1" applyFill="1" applyBorder="1" applyAlignment="1" applyProtection="1">
      <alignment horizontal="center"/>
      <protection hidden="1"/>
    </xf>
    <xf numFmtId="0" fontId="5" fillId="5" borderId="31" xfId="1" applyFont="1" applyFill="1" applyBorder="1" applyAlignment="1" applyProtection="1">
      <alignment horizontal="center"/>
      <protection hidden="1"/>
    </xf>
    <xf numFmtId="0" fontId="5" fillId="5" borderId="13" xfId="1" applyFont="1" applyFill="1" applyBorder="1" applyAlignment="1" applyProtection="1">
      <alignment horizontal="center"/>
      <protection hidden="1"/>
    </xf>
    <xf numFmtId="0" fontId="5" fillId="5" borderId="36" xfId="1" applyFont="1" applyFill="1" applyBorder="1" applyAlignment="1" applyProtection="1">
      <alignment horizontal="center"/>
      <protection hidden="1"/>
    </xf>
    <xf numFmtId="0" fontId="6" fillId="5" borderId="13" xfId="1" applyFont="1" applyFill="1" applyBorder="1" applyAlignment="1" applyProtection="1">
      <alignment horizontal="center"/>
      <protection hidden="1"/>
    </xf>
    <xf numFmtId="0" fontId="6" fillId="5" borderId="38" xfId="1" applyFont="1" applyFill="1" applyBorder="1" applyAlignment="1" applyProtection="1">
      <alignment horizontal="center"/>
      <protection hidden="1"/>
    </xf>
    <xf numFmtId="0" fontId="6" fillId="5" borderId="14" xfId="1" applyFont="1" applyFill="1" applyBorder="1" applyAlignment="1" applyProtection="1">
      <alignment horizontal="center"/>
      <protection hidden="1"/>
    </xf>
    <xf numFmtId="0" fontId="6" fillId="5" borderId="37" xfId="1" applyFont="1" applyFill="1" applyBorder="1" applyAlignment="1" applyProtection="1">
      <alignment horizontal="center"/>
      <protection hidden="1"/>
    </xf>
    <xf numFmtId="0" fontId="6" fillId="5" borderId="39" xfId="1" applyFont="1" applyFill="1" applyBorder="1" applyAlignment="1" applyProtection="1">
      <alignment horizontal="center"/>
      <protection hidden="1"/>
    </xf>
    <xf numFmtId="0" fontId="6" fillId="5" borderId="40" xfId="1" applyFont="1" applyFill="1" applyBorder="1" applyAlignment="1" applyProtection="1">
      <alignment horizontal="center"/>
      <protection hidden="1"/>
    </xf>
    <xf numFmtId="0" fontId="5" fillId="5" borderId="39" xfId="2" applyFont="1" applyFill="1" applyBorder="1" applyAlignment="1" applyProtection="1">
      <alignment horizontal="center" vertical="center"/>
      <protection hidden="1"/>
    </xf>
    <xf numFmtId="0" fontId="5" fillId="5" borderId="40" xfId="2" applyFont="1" applyFill="1" applyBorder="1" applyAlignment="1" applyProtection="1">
      <alignment horizontal="center" vertical="center"/>
      <protection hidden="1"/>
    </xf>
    <xf numFmtId="0" fontId="7" fillId="4" borderId="15" xfId="1" applyFont="1" applyFill="1" applyBorder="1" applyAlignment="1" applyProtection="1">
      <alignment horizontal="center" vertical="center" wrapText="1"/>
      <protection hidden="1"/>
    </xf>
    <xf numFmtId="0" fontId="7" fillId="4" borderId="2" xfId="1" applyFont="1" applyFill="1" applyBorder="1" applyAlignment="1" applyProtection="1">
      <alignment horizontal="center" vertical="center" wrapText="1"/>
      <protection hidden="1"/>
    </xf>
    <xf numFmtId="0" fontId="7" fillId="4" borderId="16" xfId="1" applyFont="1" applyFill="1" applyBorder="1" applyAlignment="1" applyProtection="1">
      <alignment horizontal="center" vertical="center" wrapText="1"/>
      <protection hidden="1"/>
    </xf>
    <xf numFmtId="0" fontId="18" fillId="4" borderId="7" xfId="1" applyFont="1" applyFill="1" applyBorder="1" applyAlignment="1" applyProtection="1">
      <alignment horizontal="center" vertical="center" wrapText="1"/>
      <protection hidden="1"/>
    </xf>
    <xf numFmtId="0" fontId="18" fillId="4" borderId="9" xfId="1" applyFont="1" applyFill="1" applyBorder="1" applyAlignment="1" applyProtection="1">
      <alignment horizontal="center" vertical="center" wrapText="1"/>
      <protection hidden="1"/>
    </xf>
    <xf numFmtId="2" fontId="23" fillId="10" borderId="1" xfId="0" applyNumberFormat="1" applyFont="1" applyFill="1" applyBorder="1" applyAlignment="1" applyProtection="1">
      <alignment horizontal="center" vertical="center"/>
      <protection hidden="1"/>
    </xf>
    <xf numFmtId="2" fontId="23" fillId="10" borderId="8" xfId="0" applyNumberFormat="1" applyFont="1" applyFill="1" applyBorder="1" applyAlignment="1" applyProtection="1">
      <alignment horizontal="center" vertical="center"/>
      <protection hidden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1" xfId="0" applyFont="1" applyFill="1" applyBorder="1" applyAlignment="1">
      <alignment horizontal="center" vertical="center" wrapText="1"/>
    </xf>
    <xf numFmtId="1" fontId="6" fillId="5" borderId="37" xfId="0" applyNumberFormat="1" applyFont="1" applyFill="1" applyBorder="1" applyAlignment="1" applyProtection="1">
      <alignment horizontal="center" vertical="center"/>
      <protection hidden="1"/>
    </xf>
    <xf numFmtId="1" fontId="6" fillId="5" borderId="39" xfId="0" applyNumberFormat="1" applyFont="1" applyFill="1" applyBorder="1" applyAlignment="1" applyProtection="1">
      <alignment horizontal="center" vertical="center"/>
      <protection hidden="1"/>
    </xf>
    <xf numFmtId="1" fontId="6" fillId="5" borderId="40" xfId="0" applyNumberFormat="1" applyFont="1" applyFill="1" applyBorder="1" applyAlignment="1" applyProtection="1">
      <alignment horizontal="center" vertical="center"/>
      <protection hidden="1"/>
    </xf>
    <xf numFmtId="2" fontId="5" fillId="5" borderId="37" xfId="0" applyNumberFormat="1" applyFont="1" applyFill="1" applyBorder="1" applyAlignment="1" applyProtection="1">
      <alignment horizontal="center" vertical="center"/>
      <protection hidden="1"/>
    </xf>
    <xf numFmtId="2" fontId="5" fillId="5" borderId="31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7" fillId="4" borderId="35" xfId="1" applyFont="1" applyFill="1" applyBorder="1" applyAlignment="1" applyProtection="1">
      <alignment horizontal="center" vertical="center"/>
      <protection hidden="1"/>
    </xf>
    <xf numFmtId="0" fontId="7" fillId="4" borderId="32" xfId="1" applyFont="1" applyFill="1" applyBorder="1" applyAlignment="1" applyProtection="1">
      <alignment horizontal="center" vertical="center"/>
      <protection hidden="1"/>
    </xf>
    <xf numFmtId="0" fontId="7" fillId="4" borderId="33" xfId="1" applyFont="1" applyFill="1" applyBorder="1" applyAlignment="1" applyProtection="1">
      <alignment horizontal="center" vertical="center"/>
      <protection hidden="1"/>
    </xf>
    <xf numFmtId="0" fontId="5" fillId="0" borderId="10" xfId="1" applyFont="1" applyFill="1" applyBorder="1" applyAlignment="1" applyProtection="1">
      <alignment horizontal="center" vertical="center"/>
      <protection locked="0" hidden="1"/>
    </xf>
    <xf numFmtId="0" fontId="5" fillId="5" borderId="10" xfId="2" applyFont="1" applyFill="1" applyBorder="1" applyAlignment="1" applyProtection="1">
      <alignment horizontal="center" vertical="center"/>
      <protection hidden="1"/>
    </xf>
    <xf numFmtId="0" fontId="5" fillId="5" borderId="11" xfId="2" applyFont="1" applyFill="1" applyBorder="1" applyAlignment="1" applyProtection="1">
      <alignment horizontal="center" vertical="center"/>
      <protection hidden="1"/>
    </xf>
    <xf numFmtId="0" fontId="7" fillId="4" borderId="4" xfId="1" applyFont="1" applyFill="1" applyBorder="1" applyAlignment="1" applyProtection="1">
      <alignment horizontal="center" vertical="center"/>
      <protection hidden="1"/>
    </xf>
    <xf numFmtId="0" fontId="7" fillId="4" borderId="5" xfId="1" applyFont="1" applyFill="1" applyBorder="1" applyAlignment="1" applyProtection="1">
      <alignment horizontal="center" vertical="center"/>
      <protection hidden="1"/>
    </xf>
    <xf numFmtId="0" fontId="7" fillId="4" borderId="6" xfId="1" applyFont="1" applyFill="1" applyBorder="1" applyAlignment="1" applyProtection="1">
      <alignment horizontal="center" vertical="center"/>
      <protection hidden="1"/>
    </xf>
    <xf numFmtId="0" fontId="9" fillId="5" borderId="1" xfId="2" applyFont="1" applyFill="1" applyBorder="1" applyAlignment="1" applyProtection="1">
      <alignment horizontal="center" vertical="center"/>
      <protection hidden="1"/>
    </xf>
    <xf numFmtId="0" fontId="9" fillId="5" borderId="10" xfId="2" applyFont="1" applyFill="1" applyBorder="1" applyAlignment="1" applyProtection="1">
      <alignment horizontal="center" vertical="center"/>
      <protection hidden="1"/>
    </xf>
    <xf numFmtId="0" fontId="5" fillId="0" borderId="11" xfId="1" applyFont="1" applyFill="1" applyBorder="1" applyAlignment="1" applyProtection="1">
      <alignment horizontal="center" vertical="center"/>
      <protection locked="0" hidden="1"/>
    </xf>
    <xf numFmtId="0" fontId="10" fillId="0" borderId="25" xfId="3" applyBorder="1" applyAlignment="1" applyProtection="1">
      <alignment horizontal="center" vertical="center"/>
      <protection hidden="1"/>
    </xf>
    <xf numFmtId="0" fontId="10" fillId="0" borderId="0" xfId="3" applyBorder="1" applyAlignment="1" applyProtection="1">
      <alignment horizontal="center" vertical="center"/>
      <protection hidden="1"/>
    </xf>
    <xf numFmtId="0" fontId="10" fillId="0" borderId="22" xfId="3" applyBorder="1" applyAlignment="1" applyProtection="1">
      <alignment horizontal="center" vertical="center"/>
      <protection hidden="1"/>
    </xf>
    <xf numFmtId="0" fontId="10" fillId="0" borderId="26" xfId="3" applyBorder="1" applyAlignment="1" applyProtection="1">
      <alignment horizontal="center" vertical="center"/>
      <protection hidden="1"/>
    </xf>
    <xf numFmtId="0" fontId="10" fillId="0" borderId="17" xfId="3" applyBorder="1" applyAlignment="1" applyProtection="1">
      <alignment horizontal="center" vertical="center"/>
      <protection hidden="1"/>
    </xf>
    <xf numFmtId="0" fontId="10" fillId="0" borderId="27" xfId="3" applyBorder="1" applyAlignment="1" applyProtection="1">
      <alignment horizontal="center" vertical="center"/>
      <protection hidden="1"/>
    </xf>
    <xf numFmtId="0" fontId="5" fillId="5" borderId="3" xfId="2" applyFont="1" applyFill="1" applyBorder="1" applyAlignment="1" applyProtection="1">
      <alignment horizontal="center" vertical="center"/>
      <protection hidden="1"/>
    </xf>
    <xf numFmtId="0" fontId="5" fillId="5" borderId="34" xfId="2" applyFont="1" applyFill="1" applyBorder="1" applyAlignment="1" applyProtection="1">
      <alignment horizontal="center" vertical="center"/>
      <protection hidden="1"/>
    </xf>
    <xf numFmtId="0" fontId="0" fillId="5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8" fillId="4" borderId="35" xfId="1" applyFont="1" applyFill="1" applyBorder="1" applyAlignment="1" applyProtection="1">
      <alignment horizontal="center" vertical="center"/>
      <protection hidden="1"/>
    </xf>
    <xf numFmtId="0" fontId="8" fillId="4" borderId="7" xfId="1" applyFont="1" applyFill="1" applyBorder="1" applyAlignment="1" applyProtection="1">
      <alignment horizontal="center" vertical="center"/>
      <protection hidden="1"/>
    </xf>
    <xf numFmtId="0" fontId="8" fillId="4" borderId="12" xfId="1" applyFont="1" applyFill="1" applyBorder="1" applyAlignment="1" applyProtection="1">
      <alignment horizontal="center" vertical="center"/>
      <protection hidden="1"/>
    </xf>
    <xf numFmtId="0" fontId="9" fillId="5" borderId="3" xfId="2" applyFont="1" applyFill="1" applyBorder="1" applyAlignment="1" applyProtection="1">
      <alignment horizontal="center" vertical="center"/>
      <protection hidden="1"/>
    </xf>
    <xf numFmtId="0" fontId="3" fillId="4" borderId="1" xfId="1" applyFill="1" applyBorder="1" applyAlignment="1" applyProtection="1">
      <alignment horizontal="center"/>
      <protection hidden="1"/>
    </xf>
    <xf numFmtId="0" fontId="3" fillId="4" borderId="3" xfId="1" applyFill="1" applyBorder="1" applyAlignment="1" applyProtection="1">
      <alignment horizontal="center"/>
      <protection hidden="1"/>
    </xf>
    <xf numFmtId="1" fontId="6" fillId="5" borderId="3" xfId="0" applyNumberFormat="1" applyFont="1" applyFill="1" applyBorder="1" applyAlignment="1" applyProtection="1">
      <alignment horizontal="center" vertical="center"/>
      <protection hidden="1"/>
    </xf>
    <xf numFmtId="0" fontId="8" fillId="4" borderId="9" xfId="1" applyFont="1" applyFill="1" applyBorder="1" applyAlignment="1" applyProtection="1">
      <alignment horizontal="center" vertical="center"/>
      <protection hidden="1"/>
    </xf>
    <xf numFmtId="0" fontId="8" fillId="4" borderId="41" xfId="1" applyFont="1" applyFill="1" applyBorder="1" applyAlignment="1" applyProtection="1">
      <alignment horizontal="center" vertical="center"/>
      <protection hidden="1"/>
    </xf>
    <xf numFmtId="0" fontId="8" fillId="4" borderId="42" xfId="1" applyFont="1" applyFill="1" applyBorder="1" applyAlignment="1" applyProtection="1">
      <alignment horizontal="center" vertical="center"/>
      <protection hidden="1"/>
    </xf>
    <xf numFmtId="0" fontId="8" fillId="4" borderId="43" xfId="1" applyFont="1" applyFill="1" applyBorder="1" applyAlignment="1" applyProtection="1">
      <alignment horizontal="center" vertical="center"/>
      <protection hidden="1"/>
    </xf>
    <xf numFmtId="0" fontId="6" fillId="5" borderId="3" xfId="1" applyFont="1" applyFill="1" applyBorder="1" applyAlignment="1" applyProtection="1">
      <alignment horizontal="center"/>
      <protection hidden="1"/>
    </xf>
    <xf numFmtId="0" fontId="29" fillId="11" borderId="37" xfId="1" applyFont="1" applyFill="1" applyBorder="1" applyAlignment="1" applyProtection="1">
      <alignment horizontal="center" vertical="center" wrapText="1"/>
      <protection hidden="1"/>
    </xf>
    <xf numFmtId="0" fontId="7" fillId="11" borderId="31" xfId="1" applyFont="1" applyFill="1" applyBorder="1" applyAlignment="1" applyProtection="1">
      <alignment horizontal="center" vertical="center" wrapText="1"/>
      <protection hidden="1"/>
    </xf>
    <xf numFmtId="0" fontId="19" fillId="11" borderId="37" xfId="0" applyFont="1" applyFill="1" applyBorder="1" applyAlignment="1">
      <alignment horizontal="center" vertical="center"/>
    </xf>
    <xf numFmtId="0" fontId="19" fillId="11" borderId="40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5" fillId="5" borderId="37" xfId="1" applyFont="1" applyFill="1" applyBorder="1" applyAlignment="1" applyProtection="1">
      <alignment horizontal="center" vertical="center"/>
      <protection hidden="1"/>
    </xf>
    <xf numFmtId="0" fontId="5" fillId="5" borderId="31" xfId="1" applyFont="1" applyFill="1" applyBorder="1" applyAlignment="1" applyProtection="1">
      <alignment horizontal="center" vertical="center"/>
      <protection hidden="1"/>
    </xf>
    <xf numFmtId="0" fontId="5" fillId="5" borderId="13" xfId="1" applyFont="1" applyFill="1" applyBorder="1" applyAlignment="1" applyProtection="1">
      <alignment horizontal="center" vertical="center"/>
      <protection hidden="1"/>
    </xf>
    <xf numFmtId="0" fontId="5" fillId="5" borderId="36" xfId="1" applyFont="1" applyFill="1" applyBorder="1" applyAlignment="1" applyProtection="1">
      <alignment horizontal="center" vertical="center"/>
      <protection hidden="1"/>
    </xf>
    <xf numFmtId="0" fontId="29" fillId="11" borderId="40" xfId="1" applyFont="1" applyFill="1" applyBorder="1" applyAlignment="1" applyProtection="1">
      <alignment horizontal="center" vertical="center" wrapText="1"/>
      <protection hidden="1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4D4D4D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26" fmlaLink="$J$1" fmlaRange="$G$8:$G$16" sel="5" val="0"/>
</file>

<file path=xl/ctrlProps/ctrlProp2.xml><?xml version="1.0" encoding="utf-8"?>
<formControlPr xmlns="http://schemas.microsoft.com/office/spreadsheetml/2009/9/main" objectType="Drop" dropLines="10" dropStyle="combo" dx="26" fmlaLink="$J$24" fmlaRange="$G$30:$G$38" sel="4" val="0"/>
</file>

<file path=xl/ctrlProps/ctrlProp3.xml><?xml version="1.0" encoding="utf-8"?>
<formControlPr xmlns="http://schemas.microsoft.com/office/spreadsheetml/2009/9/main" objectType="Drop" dropLines="10" dropStyle="combo" dx="26" fmlaLink="$J$1" fmlaRange="$G$8:$G$16" sel="6" val="0"/>
</file>

<file path=xl/ctrlProps/ctrlProp4.xml><?xml version="1.0" encoding="utf-8"?>
<formControlPr xmlns="http://schemas.microsoft.com/office/spreadsheetml/2009/9/main" objectType="Drop" dropLines="10" dropStyle="combo" dx="26" fmlaLink="$L$1" fmlaRange="$I$8:$I$16" sel="1" val="0"/>
</file>

<file path=xl/ctrlProps/ctrlProp5.xml><?xml version="1.0" encoding="utf-8"?>
<formControlPr xmlns="http://schemas.microsoft.com/office/spreadsheetml/2009/9/main" objectType="Drop" dropLines="10" dropStyle="combo" dx="26" fmlaLink="$L$24" fmlaRange="$I$31:$I$39" sel="9" val="0"/>
</file>

<file path=xl/ctrlProps/ctrlProp6.xml><?xml version="1.0" encoding="utf-8"?>
<formControlPr xmlns="http://schemas.microsoft.com/office/spreadsheetml/2009/9/main" objectType="Drop" dropLines="10" dropStyle="combo" dx="26" fmlaLink="$L$1" fmlaRange="$I$8:$I$16" sel="4" val="0"/>
</file>

<file path=xl/ctrlProps/ctrlProp7.xml><?xml version="1.0" encoding="utf-8"?>
<formControlPr xmlns="http://schemas.microsoft.com/office/spreadsheetml/2009/9/main" objectType="Drop" dropLines="10" dropStyle="combo" dx="26" fmlaLink="$L$1" fmlaRange="$I$8:$I$16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tiff"/><Relationship Id="rId1" Type="http://schemas.openxmlformats.org/officeDocument/2006/relationships/image" Target="../media/image2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438150</xdr:colOff>
          <xdr:row>11</xdr:row>
          <xdr:rowOff>88900</xdr:rowOff>
        </xdr:from>
        <xdr:to>
          <xdr:col>1</xdr:col>
          <xdr:colOff>2552700</xdr:colOff>
          <xdr:row>12</xdr:row>
          <xdr:rowOff>165100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469900</xdr:colOff>
          <xdr:row>36</xdr:row>
          <xdr:rowOff>95250</xdr:rowOff>
        </xdr:from>
        <xdr:to>
          <xdr:col>1</xdr:col>
          <xdr:colOff>2527300</xdr:colOff>
          <xdr:row>37</xdr:row>
          <xdr:rowOff>165100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109602</xdr:colOff>
      <xdr:row>4</xdr:row>
      <xdr:rowOff>114726</xdr:rowOff>
    </xdr:from>
    <xdr:ext cx="3597781" cy="433452"/>
    <xdr:sp macro="" textlink="">
      <xdr:nvSpPr>
        <xdr:cNvPr id="10" name="Прямоугольник 9"/>
        <xdr:cNvSpPr/>
      </xdr:nvSpPr>
      <xdr:spPr>
        <a:xfrm>
          <a:off x="109602" y="1130726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95250</xdr:rowOff>
        </xdr:from>
        <xdr:to>
          <xdr:col>1</xdr:col>
          <xdr:colOff>1231900</xdr:colOff>
          <xdr:row>2</xdr:row>
          <xdr:rowOff>203200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1475606</xdr:colOff>
      <xdr:row>0</xdr:row>
      <xdr:rowOff>3897</xdr:rowOff>
    </xdr:from>
    <xdr:to>
      <xdr:col>5</xdr:col>
      <xdr:colOff>769</xdr:colOff>
      <xdr:row>7</xdr:row>
      <xdr:rowOff>3549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606" y="3897"/>
          <a:ext cx="2985131" cy="17685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88900</xdr:colOff>
          <xdr:row>25</xdr:row>
          <xdr:rowOff>95250</xdr:rowOff>
        </xdr:from>
        <xdr:to>
          <xdr:col>1</xdr:col>
          <xdr:colOff>1238250</xdr:colOff>
          <xdr:row>27</xdr:row>
          <xdr:rowOff>203200</xdr:rowOff>
        </xdr:to>
        <xdr:sp macro="" textlink="">
          <xdr:nvSpPr>
            <xdr:cNvPr id="7174" name="Object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159014</xdr:colOff>
      <xdr:row>29</xdr:row>
      <xdr:rowOff>63821</xdr:rowOff>
    </xdr:from>
    <xdr:ext cx="3597781" cy="433452"/>
    <xdr:sp macro="" textlink="">
      <xdr:nvSpPr>
        <xdr:cNvPr id="14" name="Прямоугольник 13"/>
        <xdr:cNvSpPr/>
      </xdr:nvSpPr>
      <xdr:spPr>
        <a:xfrm>
          <a:off x="159014" y="8572821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2</xdr:col>
      <xdr:colOff>1470555</xdr:colOff>
      <xdr:row>25</xdr:row>
      <xdr:rowOff>3896</xdr:rowOff>
    </xdr:from>
    <xdr:to>
      <xdr:col>5</xdr:col>
      <xdr:colOff>5243</xdr:colOff>
      <xdr:row>32</xdr:row>
      <xdr:rowOff>3548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841" y="7496896"/>
          <a:ext cx="2987852" cy="17685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393700</xdr:colOff>
          <xdr:row>11</xdr:row>
          <xdr:rowOff>69850</xdr:rowOff>
        </xdr:from>
        <xdr:to>
          <xdr:col>1</xdr:col>
          <xdr:colOff>2565400</xdr:colOff>
          <xdr:row>12</xdr:row>
          <xdr:rowOff>165100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1530350</xdr:colOff>
      <xdr:row>0</xdr:row>
      <xdr:rowOff>0</xdr:rowOff>
    </xdr:from>
    <xdr:to>
      <xdr:col>4</xdr:col>
      <xdr:colOff>1784351</xdr:colOff>
      <xdr:row>6</xdr:row>
      <xdr:rowOff>247109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17" t="22855" r="28121" b="41299"/>
        <a:stretch/>
      </xdr:blipFill>
      <xdr:spPr>
        <a:xfrm>
          <a:off x="4483100" y="0"/>
          <a:ext cx="2927351" cy="17711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107950</xdr:rowOff>
        </xdr:from>
        <xdr:to>
          <xdr:col>1</xdr:col>
          <xdr:colOff>1257300</xdr:colOff>
          <xdr:row>2</xdr:row>
          <xdr:rowOff>203200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90714</xdr:colOff>
      <xdr:row>4</xdr:row>
      <xdr:rowOff>18143</xdr:rowOff>
    </xdr:from>
    <xdr:ext cx="3586624" cy="433452"/>
    <xdr:sp macro="" textlink="">
      <xdr:nvSpPr>
        <xdr:cNvPr id="7" name="Прямоугольник 6"/>
        <xdr:cNvSpPr/>
      </xdr:nvSpPr>
      <xdr:spPr>
        <a:xfrm>
          <a:off x="90714" y="1034143"/>
          <a:ext cx="3586624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h=250-7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2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222250</xdr:colOff>
          <xdr:row>11</xdr:row>
          <xdr:rowOff>107950</xdr:rowOff>
        </xdr:from>
        <xdr:to>
          <xdr:col>1</xdr:col>
          <xdr:colOff>2393950</xdr:colOff>
          <xdr:row>12</xdr:row>
          <xdr:rowOff>146050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241300</xdr:colOff>
          <xdr:row>34</xdr:row>
          <xdr:rowOff>95250</xdr:rowOff>
        </xdr:from>
        <xdr:to>
          <xdr:col>1</xdr:col>
          <xdr:colOff>2413000</xdr:colOff>
          <xdr:row>35</xdr:row>
          <xdr:rowOff>165100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357501</xdr:colOff>
      <xdr:row>0</xdr:row>
      <xdr:rowOff>0</xdr:rowOff>
    </xdr:from>
    <xdr:to>
      <xdr:col>7</xdr:col>
      <xdr:colOff>2703</xdr:colOff>
      <xdr:row>7</xdr:row>
      <xdr:rowOff>0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9" b="21569"/>
        <a:stretch/>
      </xdr:blipFill>
      <xdr:spPr>
        <a:xfrm>
          <a:off x="6332851" y="0"/>
          <a:ext cx="2694109" cy="17689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88900</xdr:rowOff>
        </xdr:from>
        <xdr:to>
          <xdr:col>1</xdr:col>
          <xdr:colOff>1276350</xdr:colOff>
          <xdr:row>2</xdr:row>
          <xdr:rowOff>190500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6365</xdr:colOff>
      <xdr:row>3</xdr:row>
      <xdr:rowOff>245653</xdr:rowOff>
    </xdr:from>
    <xdr:ext cx="3597781" cy="433452"/>
    <xdr:sp macro="" textlink="">
      <xdr:nvSpPr>
        <xdr:cNvPr id="16" name="Прямоугольник 15"/>
        <xdr:cNvSpPr/>
      </xdr:nvSpPr>
      <xdr:spPr>
        <a:xfrm>
          <a:off x="332936" y="1007653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1</xdr:col>
      <xdr:colOff>45358</xdr:colOff>
      <xdr:row>5</xdr:row>
      <xdr:rowOff>72571</xdr:rowOff>
    </xdr:from>
    <xdr:ext cx="3914588" cy="336246"/>
    <xdr:sp macro="" textlink="">
      <xdr:nvSpPr>
        <xdr:cNvPr id="18" name="Прямоугольник 17"/>
        <xdr:cNvSpPr/>
      </xdr:nvSpPr>
      <xdr:spPr>
        <a:xfrm>
          <a:off x="371929" y="1342571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  <xdr:oneCellAnchor>
    <xdr:from>
      <xdr:col>4</xdr:col>
      <xdr:colOff>357510</xdr:colOff>
      <xdr:row>23</xdr:row>
      <xdr:rowOff>0</xdr:rowOff>
    </xdr:from>
    <xdr:ext cx="2696830" cy="1768929"/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9" b="21569"/>
        <a:stretch/>
      </xdr:blipFill>
      <xdr:spPr>
        <a:xfrm>
          <a:off x="6332860" y="6921500"/>
          <a:ext cx="2696830" cy="17689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23</xdr:row>
          <xdr:rowOff>88900</xdr:rowOff>
        </xdr:from>
        <xdr:to>
          <xdr:col>1</xdr:col>
          <xdr:colOff>1276350</xdr:colOff>
          <xdr:row>25</xdr:row>
          <xdr:rowOff>190500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6365</xdr:colOff>
      <xdr:row>26</xdr:row>
      <xdr:rowOff>245653</xdr:rowOff>
    </xdr:from>
    <xdr:ext cx="3597781" cy="433452"/>
    <xdr:sp macro="" textlink="">
      <xdr:nvSpPr>
        <xdr:cNvPr id="34" name="Прямоугольник 33"/>
        <xdr:cNvSpPr/>
      </xdr:nvSpPr>
      <xdr:spPr>
        <a:xfrm>
          <a:off x="332936" y="1007653"/>
          <a:ext cx="3597781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h=250-600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oneCellAnchor>
    <xdr:from>
      <xdr:col>1</xdr:col>
      <xdr:colOff>45358</xdr:colOff>
      <xdr:row>28</xdr:row>
      <xdr:rowOff>72571</xdr:rowOff>
    </xdr:from>
    <xdr:ext cx="3914588" cy="336246"/>
    <xdr:sp macro="" textlink="">
      <xdr:nvSpPr>
        <xdr:cNvPr id="35" name="Прямоугольник 34"/>
        <xdr:cNvSpPr/>
      </xdr:nvSpPr>
      <xdr:spPr>
        <a:xfrm>
          <a:off x="371929" y="1342571"/>
          <a:ext cx="3914588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до ширины фасада </a:t>
          </a:r>
          <a:r>
            <a:rPr 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600 </a:t>
          </a:r>
          <a:r>
            <a:rPr lang="ru-RU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Light" panose="020B0300000000000000" pitchFamily="34" charset="-128"/>
              <a:ea typeface="Yu Gothic UI Light" panose="020B0300000000000000" pitchFamily="34" charset="-128"/>
            </a:rPr>
            <a:t>мм используйте один механизм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209550</xdr:colOff>
          <xdr:row>11</xdr:row>
          <xdr:rowOff>88900</xdr:rowOff>
        </xdr:from>
        <xdr:to>
          <xdr:col>1</xdr:col>
          <xdr:colOff>2393950</xdr:colOff>
          <xdr:row>12</xdr:row>
          <xdr:rowOff>152400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71617</xdr:colOff>
      <xdr:row>0</xdr:row>
      <xdr:rowOff>0</xdr:rowOff>
    </xdr:from>
    <xdr:to>
      <xdr:col>6</xdr:col>
      <xdr:colOff>1084029</xdr:colOff>
      <xdr:row>6</xdr:row>
      <xdr:rowOff>244927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1" r="19733" b="26589"/>
        <a:stretch/>
      </xdr:blipFill>
      <xdr:spPr>
        <a:xfrm>
          <a:off x="6657474" y="0"/>
          <a:ext cx="2804019" cy="17689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95250</xdr:rowOff>
        </xdr:from>
        <xdr:to>
          <xdr:col>1</xdr:col>
          <xdr:colOff>1276350</xdr:colOff>
          <xdr:row>2</xdr:row>
          <xdr:rowOff>184150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308428</xdr:colOff>
      <xdr:row>4</xdr:row>
      <xdr:rowOff>1</xdr:rowOff>
    </xdr:from>
    <xdr:ext cx="3724867" cy="433452"/>
    <xdr:sp macro="" textlink="">
      <xdr:nvSpPr>
        <xdr:cNvPr id="8" name="Прямоугольник 7"/>
        <xdr:cNvSpPr/>
      </xdr:nvSpPr>
      <xdr:spPr>
        <a:xfrm>
          <a:off x="308428" y="1016001"/>
          <a:ext cx="3724867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h=480-1040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209550</xdr:colOff>
          <xdr:row>11</xdr:row>
          <xdr:rowOff>88900</xdr:rowOff>
        </xdr:from>
        <xdr:to>
          <xdr:col>1</xdr:col>
          <xdr:colOff>2393950</xdr:colOff>
          <xdr:row>12</xdr:row>
          <xdr:rowOff>152400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127000</xdr:colOff>
          <xdr:row>0</xdr:row>
          <xdr:rowOff>95250</xdr:rowOff>
        </xdr:from>
        <xdr:to>
          <xdr:col>1</xdr:col>
          <xdr:colOff>1276350</xdr:colOff>
          <xdr:row>2</xdr:row>
          <xdr:rowOff>184150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45401</xdr:colOff>
      <xdr:row>4</xdr:row>
      <xdr:rowOff>1</xdr:rowOff>
    </xdr:from>
    <xdr:ext cx="3597780" cy="433452"/>
    <xdr:sp macro="" textlink="">
      <xdr:nvSpPr>
        <xdr:cNvPr id="5" name="Прямоугольник 4"/>
        <xdr:cNvSpPr/>
      </xdr:nvSpPr>
      <xdr:spPr>
        <a:xfrm>
          <a:off x="371972" y="1016001"/>
          <a:ext cx="3597780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h=300-580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  <xdr:twoCellAnchor editAs="oneCell">
    <xdr:from>
      <xdr:col>5</xdr:col>
      <xdr:colOff>414550</xdr:colOff>
      <xdr:row>0</xdr:row>
      <xdr:rowOff>0</xdr:rowOff>
    </xdr:from>
    <xdr:to>
      <xdr:col>6</xdr:col>
      <xdr:colOff>1775264</xdr:colOff>
      <xdr:row>6</xdr:row>
      <xdr:rowOff>248204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3150" y="0"/>
          <a:ext cx="3151414" cy="1772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2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printerSettings" Target="../printerSettings/printerSettings3.bin"/><Relationship Id="rId7" Type="http://schemas.openxmlformats.org/officeDocument/2006/relationships/image" Target="../media/image1.emf"/><Relationship Id="rId2" Type="http://schemas.openxmlformats.org/officeDocument/2006/relationships/hyperlink" Target="http://www.dtcrussia.ru/" TargetMode="External"/><Relationship Id="rId1" Type="http://schemas.openxmlformats.org/officeDocument/2006/relationships/hyperlink" Target="http://www.dtcrussia.ru/" TargetMode="External"/><Relationship Id="rId6" Type="http://schemas.openxmlformats.org/officeDocument/2006/relationships/oleObject" Target="../embeddings/oleObject4.bin"/><Relationship Id="rId5" Type="http://schemas.openxmlformats.org/officeDocument/2006/relationships/vmlDrawing" Target="../drawings/vmlDrawing3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3.xml"/><Relationship Id="rId9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6.bin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7.bin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9"/>
  <sheetViews>
    <sheetView topLeftCell="A19" zoomScale="70" zoomScaleNormal="70" workbookViewId="0">
      <selection activeCell="Q38" sqref="Q38"/>
    </sheetView>
  </sheetViews>
  <sheetFormatPr defaultColWidth="9.1796875" defaultRowHeight="14.5"/>
  <cols>
    <col min="1" max="1" width="4.54296875" customWidth="1"/>
    <col min="2" max="2" width="45.54296875" customWidth="1"/>
    <col min="3" max="3" width="30.54296875" customWidth="1"/>
    <col min="4" max="4" width="7.54296875" customWidth="1"/>
    <col min="5" max="5" width="25.54296875" customWidth="1"/>
    <col min="6" max="6" width="9.81640625" customWidth="1"/>
    <col min="7" max="7" width="16" hidden="1" customWidth="1"/>
    <col min="8" max="8" width="12.54296875" hidden="1" customWidth="1"/>
    <col min="9" max="9" width="10.1796875" hidden="1" customWidth="1"/>
    <col min="10" max="10" width="9.54296875" hidden="1" customWidth="1"/>
    <col min="11" max="11" width="16" hidden="1" customWidth="1"/>
    <col min="12" max="14" width="8.54296875" customWidth="1"/>
  </cols>
  <sheetData>
    <row r="1" spans="1:10" ht="20.149999999999999" customHeight="1">
      <c r="A1" s="112" t="s">
        <v>46</v>
      </c>
      <c r="B1" s="113"/>
      <c r="C1" s="113"/>
      <c r="D1" s="113"/>
      <c r="E1" s="114"/>
      <c r="H1" s="104" t="s">
        <v>47</v>
      </c>
      <c r="I1" s="104"/>
      <c r="J1" s="9">
        <v>5</v>
      </c>
    </row>
    <row r="2" spans="1:10" ht="20.149999999999999" customHeight="1">
      <c r="A2" s="115"/>
      <c r="B2" s="116"/>
      <c r="C2" s="116"/>
      <c r="D2" s="116"/>
      <c r="E2" s="117"/>
    </row>
    <row r="3" spans="1:10" ht="20.149999999999999" customHeight="1">
      <c r="A3" s="115"/>
      <c r="B3" s="116"/>
      <c r="C3" s="116"/>
      <c r="D3" s="116"/>
      <c r="E3" s="117"/>
    </row>
    <row r="4" spans="1:10" ht="20.149999999999999" customHeight="1">
      <c r="A4" s="115"/>
      <c r="B4" s="116"/>
      <c r="C4" s="116"/>
      <c r="D4" s="116"/>
      <c r="E4" s="117"/>
    </row>
    <row r="5" spans="1:10" ht="20.149999999999999" customHeight="1">
      <c r="A5" s="115"/>
      <c r="B5" s="116"/>
      <c r="C5" s="116"/>
      <c r="D5" s="116"/>
      <c r="E5" s="117"/>
    </row>
    <row r="6" spans="1:10" ht="20.149999999999999" customHeight="1">
      <c r="A6" s="115"/>
      <c r="B6" s="116"/>
      <c r="C6" s="116"/>
      <c r="D6" s="116"/>
      <c r="E6" s="117"/>
    </row>
    <row r="7" spans="1:10" ht="20.149999999999999" customHeight="1" thickBot="1">
      <c r="A7" s="118"/>
      <c r="B7" s="119"/>
      <c r="C7" s="119"/>
      <c r="D7" s="119"/>
      <c r="E7" s="120"/>
      <c r="G7" s="1" t="s">
        <v>71</v>
      </c>
      <c r="H7" s="1" t="s">
        <v>72</v>
      </c>
      <c r="I7" s="1" t="s">
        <v>73</v>
      </c>
      <c r="J7" s="1" t="s">
        <v>74</v>
      </c>
    </row>
    <row r="8" spans="1:10" ht="30" customHeight="1">
      <c r="A8" s="89">
        <v>1</v>
      </c>
      <c r="B8" s="105" t="s">
        <v>58</v>
      </c>
      <c r="C8" s="106"/>
      <c r="D8" s="106"/>
      <c r="E8" s="107"/>
      <c r="G8" s="1" t="s">
        <v>49</v>
      </c>
      <c r="H8" s="8">
        <v>10.9</v>
      </c>
      <c r="I8" s="8">
        <f>B10*C10/1000000*H8+E10/1000</f>
        <v>4.3965000000000005</v>
      </c>
      <c r="J8" s="9" t="s">
        <v>48</v>
      </c>
    </row>
    <row r="9" spans="1:10" ht="20.149999999999999" customHeight="1">
      <c r="A9" s="90"/>
      <c r="B9" s="5" t="s">
        <v>59</v>
      </c>
      <c r="C9" s="6" t="s">
        <v>60</v>
      </c>
      <c r="D9" s="125" t="s">
        <v>0</v>
      </c>
      <c r="E9" s="24" t="s">
        <v>61</v>
      </c>
      <c r="F9" s="15"/>
      <c r="G9" s="1" t="s">
        <v>50</v>
      </c>
      <c r="H9" s="8">
        <v>12.2</v>
      </c>
      <c r="I9" s="8">
        <f>B10*C10/1000000*H9+E10/1000</f>
        <v>4.8970000000000002</v>
      </c>
      <c r="J9" s="8">
        <f>IF(J1=2,I9,J10)</f>
        <v>6.5525000000000002</v>
      </c>
    </row>
    <row r="10" spans="1:10" ht="30" customHeight="1" thickBot="1">
      <c r="A10" s="91"/>
      <c r="B10" s="33">
        <v>550</v>
      </c>
      <c r="C10" s="32">
        <v>700</v>
      </c>
      <c r="D10" s="125"/>
      <c r="E10" s="34">
        <v>200</v>
      </c>
      <c r="F10" s="16"/>
      <c r="G10" s="1" t="s">
        <v>51</v>
      </c>
      <c r="H10" s="8">
        <v>12.1</v>
      </c>
      <c r="I10" s="8">
        <f>B10*C10/1000000*H10+E10/1000</f>
        <v>4.8585000000000003</v>
      </c>
      <c r="J10" s="8">
        <f>IF(J1=3,I10,J11)</f>
        <v>6.5525000000000002</v>
      </c>
    </row>
    <row r="11" spans="1:10" ht="40" customHeight="1">
      <c r="A11" s="101">
        <v>2</v>
      </c>
      <c r="B11" s="81" t="s">
        <v>98</v>
      </c>
      <c r="C11" s="82"/>
      <c r="D11" s="82"/>
      <c r="E11" s="83"/>
      <c r="F11" s="16"/>
      <c r="G11" s="1" t="s">
        <v>52</v>
      </c>
      <c r="H11" s="8">
        <v>14.5</v>
      </c>
      <c r="I11" s="8">
        <f>B10*C10/1000000*H11+E10/1000</f>
        <v>5.7825000000000006</v>
      </c>
      <c r="J11" s="8">
        <f>IF(J1=4,I11,J12)</f>
        <v>6.5525000000000002</v>
      </c>
    </row>
    <row r="12" spans="1:10" ht="20.149999999999999" customHeight="1">
      <c r="A12" s="102"/>
      <c r="B12" s="126"/>
      <c r="C12" s="25" t="s">
        <v>62</v>
      </c>
      <c r="D12" s="85" t="s">
        <v>63</v>
      </c>
      <c r="E12" s="86"/>
      <c r="F12" s="17"/>
      <c r="G12" s="1" t="s">
        <v>53</v>
      </c>
      <c r="H12" s="8">
        <v>16.5</v>
      </c>
      <c r="I12" s="8">
        <f>B10*C10/1000000*H12+E10/1000</f>
        <v>6.5525000000000002</v>
      </c>
      <c r="J12" s="8">
        <f>IF(J1=5,I12,J13)</f>
        <v>6.5525000000000002</v>
      </c>
    </row>
    <row r="13" spans="1:10" ht="20.149999999999999" customHeight="1">
      <c r="A13" s="102"/>
      <c r="B13" s="126"/>
      <c r="C13" s="37">
        <f>IF(J1=1,I8,J9)</f>
        <v>6.5525000000000002</v>
      </c>
      <c r="D13" s="87">
        <f>C13*B10</f>
        <v>3603.875</v>
      </c>
      <c r="E13" s="88"/>
      <c r="F13" s="18"/>
      <c r="G13" s="1" t="s">
        <v>54</v>
      </c>
      <c r="H13" s="8">
        <v>11</v>
      </c>
      <c r="I13" s="8">
        <f>B10*C10/1000000*H13+E10/1000</f>
        <v>4.4350000000000005</v>
      </c>
      <c r="J13" s="8" t="e">
        <f>IF(J1=6,I13,J14)</f>
        <v>#REF!</v>
      </c>
    </row>
    <row r="14" spans="1:10" ht="20.149999999999999" customHeight="1">
      <c r="A14" s="102"/>
      <c r="B14" s="28" t="s">
        <v>66</v>
      </c>
      <c r="C14" s="27" t="s">
        <v>68</v>
      </c>
      <c r="D14" s="95" t="s">
        <v>138</v>
      </c>
      <c r="E14" s="96"/>
      <c r="F14" s="17"/>
      <c r="G14" s="1" t="s">
        <v>55</v>
      </c>
      <c r="H14" s="8">
        <v>12</v>
      </c>
      <c r="I14" s="8">
        <f>B10*C10/1000000*H14+E10/1000</f>
        <v>4.82</v>
      </c>
      <c r="J14" s="8" t="e">
        <f>IF(J1=7,I14,J15)</f>
        <v>#REF!</v>
      </c>
    </row>
    <row r="15" spans="1:10" ht="20.149999999999999" customHeight="1">
      <c r="A15" s="102"/>
      <c r="B15" s="28" t="s">
        <v>78</v>
      </c>
      <c r="C15" s="57" t="str">
        <f>G17</f>
        <v>0017400</v>
      </c>
      <c r="D15" s="97" t="str">
        <f>H17</f>
        <v>0017401</v>
      </c>
      <c r="E15" s="98"/>
      <c r="F15" s="30"/>
      <c r="G15" s="1" t="s">
        <v>56</v>
      </c>
      <c r="H15" s="8">
        <v>15</v>
      </c>
      <c r="I15" s="8">
        <f>B10*C10/1000000*H15+E10/1000</f>
        <v>5.9750000000000005</v>
      </c>
      <c r="J15" s="8" t="e">
        <f>IF(J1=8,I15,J16)</f>
        <v>#REF!</v>
      </c>
    </row>
    <row r="16" spans="1:10" ht="30" customHeight="1" thickBot="1">
      <c r="A16" s="103"/>
      <c r="B16" s="29" t="s">
        <v>79</v>
      </c>
      <c r="C16" s="58" t="str">
        <f>G18</f>
        <v/>
      </c>
      <c r="D16" s="99" t="str">
        <f>H18</f>
        <v/>
      </c>
      <c r="E16" s="100"/>
      <c r="F16" s="30"/>
      <c r="G16" s="1" t="s">
        <v>57</v>
      </c>
      <c r="H16" s="8">
        <v>11.2</v>
      </c>
      <c r="I16" s="8">
        <f>B10*C10/1000000*H16+E10/1000</f>
        <v>4.5119999999999996</v>
      </c>
      <c r="J16" s="8" t="e">
        <f>IF(J1=9,I16,#REF!)</f>
        <v>#REF!</v>
      </c>
    </row>
    <row r="17" spans="1:10" ht="60" customHeight="1">
      <c r="A17" s="90"/>
      <c r="B17" s="92" t="s">
        <v>69</v>
      </c>
      <c r="C17" s="93"/>
      <c r="D17" s="93"/>
      <c r="E17" s="94"/>
      <c r="G17" t="str">
        <f>IF(B10&gt;600,"слишком высокий фасад",IF(B10&lt;250,"слишком низкий фасад",IF(D13&lt;480,"слишком легкий фасад",IF(D13&lt;960,"0017393",IF(D13&lt;1600,"0017396",IF(D13&lt;2500,"0017398",IF(D13&lt;=4500,"0017400","")))))))</f>
        <v>0017400</v>
      </c>
      <c r="H17" t="str">
        <f>IF(B10&gt;600,"слишком высокий фасад",IF(B10&lt;250,"слишком низкий фасад",IF(D13&lt;480,"слишком легкий фасад",IF(D13&lt;960,"0017394",IF(D13&lt;1600,"0017397",IF(D13&lt;2500,"0017399",IF(D13&lt;=4500,"0017401","")))))))</f>
        <v>0017401</v>
      </c>
    </row>
    <row r="18" spans="1:10" ht="20.149999999999999" customHeight="1">
      <c r="A18" s="90"/>
      <c r="B18" s="43" t="s">
        <v>99</v>
      </c>
      <c r="C18" s="25" t="s">
        <v>64</v>
      </c>
      <c r="D18" s="85" t="s">
        <v>65</v>
      </c>
      <c r="E18" s="86"/>
      <c r="G18" t="str">
        <f>IF(D13&gt;6750,"слишком тяжелый фасад", IF(D13&gt;5400,"3 механизма 0017400",IF(D13&gt;4500,"3 механизма 0017398",IF(D13&lt;=4500,""))))</f>
        <v/>
      </c>
      <c r="H18" t="str">
        <f>IF(D13&gt;6750,"слишком тяжелый фасад", IF(D13&gt;5400,"3 механизма 0017401",IF(D13&gt;4500,"3 механизма 0017399",IF(D13&lt;=4500,""))))</f>
        <v/>
      </c>
    </row>
    <row r="19" spans="1:10" ht="20.149999999999999" customHeight="1">
      <c r="A19" s="90"/>
      <c r="B19" s="10" t="s">
        <v>104</v>
      </c>
      <c r="C19" s="31" t="s">
        <v>37</v>
      </c>
      <c r="D19" s="108">
        <v>865</v>
      </c>
      <c r="E19" s="109"/>
    </row>
    <row r="20" spans="1:10" ht="20.149999999999999" customHeight="1">
      <c r="A20" s="90"/>
      <c r="B20" s="10" t="s">
        <v>105</v>
      </c>
      <c r="C20" s="31" t="s">
        <v>38</v>
      </c>
      <c r="D20" s="108">
        <v>1655</v>
      </c>
      <c r="E20" s="109"/>
    </row>
    <row r="21" spans="1:10" ht="20.149999999999999" customHeight="1">
      <c r="A21" s="90"/>
      <c r="B21" s="10" t="s">
        <v>106</v>
      </c>
      <c r="C21" s="31" t="s">
        <v>39</v>
      </c>
      <c r="D21" s="108">
        <v>2600</v>
      </c>
      <c r="E21" s="109"/>
    </row>
    <row r="22" spans="1:10" ht="20.149999999999999" customHeight="1" thickBot="1">
      <c r="A22" s="91"/>
      <c r="B22" s="11" t="s">
        <v>107</v>
      </c>
      <c r="C22" s="31" t="s">
        <v>40</v>
      </c>
      <c r="D22" s="110">
        <v>3500</v>
      </c>
      <c r="E22" s="111"/>
    </row>
    <row r="23" spans="1:10" ht="15" customHeight="1">
      <c r="A23" s="75" t="s">
        <v>67</v>
      </c>
      <c r="B23" s="76"/>
      <c r="C23" s="76"/>
      <c r="D23" s="76"/>
      <c r="E23" s="77"/>
    </row>
    <row r="24" spans="1:10" ht="15" customHeight="1" thickBot="1">
      <c r="A24" s="78"/>
      <c r="B24" s="79"/>
      <c r="C24" s="79"/>
      <c r="D24" s="79"/>
      <c r="E24" s="80"/>
      <c r="H24" s="104" t="s">
        <v>47</v>
      </c>
      <c r="I24" s="104"/>
      <c r="J24" s="9">
        <v>4</v>
      </c>
    </row>
    <row r="25" spans="1:10" ht="30" customHeight="1" thickBot="1"/>
    <row r="26" spans="1:10" ht="20.149999999999999" customHeight="1">
      <c r="A26" s="112" t="s">
        <v>75</v>
      </c>
      <c r="B26" s="113"/>
      <c r="C26" s="113"/>
      <c r="D26" s="113"/>
      <c r="E26" s="114"/>
    </row>
    <row r="27" spans="1:10" ht="20.149999999999999" customHeight="1">
      <c r="A27" s="115"/>
      <c r="B27" s="116"/>
      <c r="C27" s="116"/>
      <c r="D27" s="116"/>
      <c r="E27" s="117"/>
    </row>
    <row r="28" spans="1:10" ht="20.149999999999999" customHeight="1">
      <c r="A28" s="115"/>
      <c r="B28" s="116"/>
      <c r="C28" s="116"/>
      <c r="D28" s="116"/>
      <c r="E28" s="117"/>
    </row>
    <row r="29" spans="1:10" ht="20.149999999999999" customHeight="1">
      <c r="A29" s="115"/>
      <c r="B29" s="116"/>
      <c r="C29" s="116"/>
      <c r="D29" s="116"/>
      <c r="E29" s="117"/>
      <c r="G29" s="1" t="s">
        <v>71</v>
      </c>
      <c r="H29" s="1" t="s">
        <v>72</v>
      </c>
      <c r="I29" s="1" t="s">
        <v>73</v>
      </c>
      <c r="J29" s="1" t="s">
        <v>74</v>
      </c>
    </row>
    <row r="30" spans="1:10" ht="20.149999999999999" customHeight="1">
      <c r="A30" s="115"/>
      <c r="B30" s="116"/>
      <c r="C30" s="116"/>
      <c r="D30" s="116"/>
      <c r="E30" s="117"/>
      <c r="G30" s="38" t="s">
        <v>49</v>
      </c>
      <c r="H30" s="8">
        <v>10.9</v>
      </c>
      <c r="I30" s="8">
        <f>B35*C35/1000000*H30</f>
        <v>3.0273224000000001</v>
      </c>
      <c r="J30" s="9" t="s">
        <v>1</v>
      </c>
    </row>
    <row r="31" spans="1:10" ht="20.149999999999999" customHeight="1">
      <c r="A31" s="115"/>
      <c r="B31" s="116"/>
      <c r="C31" s="116"/>
      <c r="D31" s="116"/>
      <c r="E31" s="117"/>
      <c r="G31" s="38" t="s">
        <v>50</v>
      </c>
      <c r="H31" s="8">
        <v>12.2</v>
      </c>
      <c r="I31" s="8">
        <f>B35*C35/1000000*H31</f>
        <v>3.3883791999999997</v>
      </c>
      <c r="J31" s="8">
        <f>IF(J24=2,I31,J32)</f>
        <v>4.0271720000000002</v>
      </c>
    </row>
    <row r="32" spans="1:10" ht="20.149999999999999" customHeight="1" thickBot="1">
      <c r="A32" s="118"/>
      <c r="B32" s="119"/>
      <c r="C32" s="119"/>
      <c r="D32" s="119"/>
      <c r="E32" s="120"/>
      <c r="G32" s="38" t="s">
        <v>51</v>
      </c>
      <c r="H32" s="8">
        <v>12.1</v>
      </c>
      <c r="I32" s="8">
        <f>B35*C35/1000000*H32</f>
        <v>3.3606055999999995</v>
      </c>
      <c r="J32" s="8">
        <f>IF(J24=3,I32,J33)</f>
        <v>4.0271720000000002</v>
      </c>
    </row>
    <row r="33" spans="1:11" ht="30" customHeight="1">
      <c r="A33" s="90">
        <v>1</v>
      </c>
      <c r="B33" s="105" t="s">
        <v>87</v>
      </c>
      <c r="C33" s="106"/>
      <c r="D33" s="106"/>
      <c r="E33" s="107"/>
      <c r="F33" s="12"/>
      <c r="G33" s="38" t="s">
        <v>52</v>
      </c>
      <c r="H33" s="8">
        <v>14.5</v>
      </c>
      <c r="I33" s="8">
        <f>B35*C35/1000000*H33</f>
        <v>4.0271720000000002</v>
      </c>
      <c r="J33" s="8">
        <f>IF(J24=4,I33,J34)</f>
        <v>4.0271720000000002</v>
      </c>
      <c r="K33" s="13"/>
    </row>
    <row r="34" spans="1:11" ht="20.149999999999999" customHeight="1">
      <c r="A34" s="90"/>
      <c r="B34" s="5" t="s">
        <v>59</v>
      </c>
      <c r="C34" s="6" t="s">
        <v>60</v>
      </c>
      <c r="D34" s="121" t="s">
        <v>86</v>
      </c>
      <c r="E34" s="122"/>
      <c r="F34" s="12"/>
      <c r="G34" s="38" t="s">
        <v>53</v>
      </c>
      <c r="H34" s="8">
        <v>16.5</v>
      </c>
      <c r="I34" s="8">
        <f>B35*C35/1000000*H34</f>
        <v>4.5826440000000002</v>
      </c>
      <c r="J34" s="8">
        <f>IF(J24=5,I34,J35)</f>
        <v>0</v>
      </c>
      <c r="K34" s="13"/>
    </row>
    <row r="35" spans="1:11" ht="30" customHeight="1" thickBot="1">
      <c r="A35" s="91"/>
      <c r="B35" s="33">
        <v>466</v>
      </c>
      <c r="C35" s="32">
        <v>596</v>
      </c>
      <c r="D35" s="123"/>
      <c r="E35" s="124"/>
      <c r="G35" s="38" t="s">
        <v>54</v>
      </c>
      <c r="H35" s="8">
        <v>11</v>
      </c>
      <c r="I35" s="8">
        <f>B35*C35/1000000*H35</f>
        <v>3.0550959999999998</v>
      </c>
      <c r="J35" s="8">
        <f>IF(J24=6,I35,J36)</f>
        <v>0</v>
      </c>
    </row>
    <row r="36" spans="1:11" ht="40" customHeight="1">
      <c r="A36" s="101">
        <v>2</v>
      </c>
      <c r="B36" s="81" t="s">
        <v>98</v>
      </c>
      <c r="C36" s="82"/>
      <c r="D36" s="82"/>
      <c r="E36" s="83"/>
      <c r="G36" s="38" t="s">
        <v>55</v>
      </c>
      <c r="H36" s="8">
        <v>12</v>
      </c>
      <c r="I36" s="8">
        <f>B35*C35/1000000*H36</f>
        <v>3.3328319999999998</v>
      </c>
      <c r="J36" s="8">
        <f>IF(J24=7,I36,J37)</f>
        <v>0</v>
      </c>
    </row>
    <row r="37" spans="1:11" ht="20.149999999999999" customHeight="1">
      <c r="A37" s="102"/>
      <c r="B37" s="84"/>
      <c r="C37" s="25" t="s">
        <v>62</v>
      </c>
      <c r="D37" s="85" t="s">
        <v>63</v>
      </c>
      <c r="E37" s="86"/>
      <c r="G37" s="38" t="s">
        <v>56</v>
      </c>
      <c r="H37" s="8">
        <v>15</v>
      </c>
      <c r="I37" s="8">
        <f>B35*C35/1000000*H37</f>
        <v>4.1660399999999997</v>
      </c>
      <c r="J37" s="8">
        <f>IF(J24=8,I37,J38)</f>
        <v>0</v>
      </c>
    </row>
    <row r="38" spans="1:11" ht="20.149999999999999" customHeight="1">
      <c r="A38" s="102"/>
      <c r="B38" s="84"/>
      <c r="C38" s="37">
        <f>IF(J24=1,I30,J31)</f>
        <v>4.0271720000000002</v>
      </c>
      <c r="D38" s="87">
        <f>C38*B35</f>
        <v>1876.6621520000001</v>
      </c>
      <c r="E38" s="88"/>
      <c r="G38" s="38" t="s">
        <v>57</v>
      </c>
      <c r="H38" s="8">
        <v>11.2</v>
      </c>
      <c r="I38" s="8">
        <f>B35*C35/1000000*H38</f>
        <v>3.1106431999999997</v>
      </c>
      <c r="J38" s="8">
        <f>IF(J24=9,I38,J39)</f>
        <v>0</v>
      </c>
    </row>
    <row r="39" spans="1:11" ht="20.149999999999999" customHeight="1">
      <c r="A39" s="102"/>
      <c r="B39" s="28" t="s">
        <v>66</v>
      </c>
      <c r="C39" s="27" t="s">
        <v>68</v>
      </c>
      <c r="D39" s="95" t="s">
        <v>138</v>
      </c>
      <c r="E39" s="96"/>
      <c r="G39" t="str">
        <f>IF(B35&gt;600,"слишком высокий фасад",IF(B35&lt;250,"слишком низкий фасад",IF(D38&lt;580,"слишком легкий фасад",IF(D38&lt;1060,"0017402",IF(D38&lt;1800,"0017404",IF(D38&lt;2600,"0017406",IF(D38&lt;=5000,"0017408","")))))))</f>
        <v>0017406</v>
      </c>
      <c r="H39" t="str">
        <f>IF(B35&gt;600,"слишком высокий фасад",IF(B35&lt;250,"слишком низкий фасад",IF(D38&lt;580,"слишком легкий фасад",IF(D38&lt;1060,"0017403",IF(D38&lt;1800,"0017405",IF(D38&lt;2600,"0017407",IF(D38&lt;=5000,"0017409","")))))))</f>
        <v>0017407</v>
      </c>
    </row>
    <row r="40" spans="1:11" ht="20.149999999999999" customHeight="1">
      <c r="A40" s="102"/>
      <c r="B40" s="28" t="s">
        <v>78</v>
      </c>
      <c r="C40" s="57" t="str">
        <f>G39</f>
        <v>0017406</v>
      </c>
      <c r="D40" s="97" t="str">
        <f>H39</f>
        <v>0017407</v>
      </c>
      <c r="E40" s="98"/>
      <c r="F40" s="30"/>
      <c r="G40" t="str">
        <f>IF(D38&gt;7500,"слишком тяжелый фасад", IF(D38&gt;6000,"3 механизма 0017408",IF(D38&gt;5000,"3 механизма 0017406",IF(D38&lt;=5000,""))))</f>
        <v/>
      </c>
      <c r="H40" t="str">
        <f>IF(D38&gt;7500,"слишком тяжелый фасад", IF(D38&gt;6000,"3 механизма 0017409",IF(D38&gt;5000,"3 механизма 0017407",IF(D38&lt;=5000,""))))</f>
        <v/>
      </c>
    </row>
    <row r="41" spans="1:11" ht="32.5" customHeight="1" thickBot="1">
      <c r="A41" s="103"/>
      <c r="B41" s="29" t="s">
        <v>80</v>
      </c>
      <c r="C41" s="58" t="str">
        <f>G40</f>
        <v/>
      </c>
      <c r="D41" s="99" t="str">
        <f>H40</f>
        <v/>
      </c>
      <c r="E41" s="100"/>
      <c r="F41" s="30"/>
    </row>
    <row r="42" spans="1:11" ht="60" customHeight="1">
      <c r="A42" s="89"/>
      <c r="B42" s="92" t="s">
        <v>76</v>
      </c>
      <c r="C42" s="93"/>
      <c r="D42" s="93"/>
      <c r="E42" s="94"/>
    </row>
    <row r="43" spans="1:11" ht="20.149999999999999" customHeight="1">
      <c r="A43" s="90"/>
      <c r="B43" s="43" t="s">
        <v>99</v>
      </c>
      <c r="C43" s="25" t="s">
        <v>64</v>
      </c>
      <c r="D43" s="85" t="s">
        <v>65</v>
      </c>
      <c r="E43" s="86"/>
    </row>
    <row r="44" spans="1:11" ht="20.149999999999999" customHeight="1">
      <c r="A44" s="90"/>
      <c r="B44" s="10" t="s">
        <v>101</v>
      </c>
      <c r="C44" s="3" t="s">
        <v>77</v>
      </c>
      <c r="D44" s="71">
        <v>965</v>
      </c>
      <c r="E44" s="72"/>
    </row>
    <row r="45" spans="1:11" ht="20.149999999999999" customHeight="1">
      <c r="A45" s="90"/>
      <c r="B45" s="10" t="s">
        <v>102</v>
      </c>
      <c r="C45" s="3" t="s">
        <v>43</v>
      </c>
      <c r="D45" s="71">
        <v>1755</v>
      </c>
      <c r="E45" s="72"/>
    </row>
    <row r="46" spans="1:11" ht="20.149999999999999" customHeight="1">
      <c r="A46" s="90"/>
      <c r="B46" s="10" t="s">
        <v>103</v>
      </c>
      <c r="C46" s="3" t="s">
        <v>44</v>
      </c>
      <c r="D46" s="71">
        <v>2900</v>
      </c>
      <c r="E46" s="72"/>
    </row>
    <row r="47" spans="1:11" ht="20.149999999999999" customHeight="1" thickBot="1">
      <c r="A47" s="91"/>
      <c r="B47" s="11" t="s">
        <v>100</v>
      </c>
      <c r="C47" s="3" t="s">
        <v>45</v>
      </c>
      <c r="D47" s="73">
        <v>3800</v>
      </c>
      <c r="E47" s="74"/>
    </row>
    <row r="48" spans="1:11" ht="15" customHeight="1">
      <c r="A48" s="75" t="s">
        <v>67</v>
      </c>
      <c r="B48" s="76"/>
      <c r="C48" s="76"/>
      <c r="D48" s="76"/>
      <c r="E48" s="77"/>
    </row>
    <row r="49" spans="1:5" ht="15" customHeight="1" thickBot="1">
      <c r="A49" s="78"/>
      <c r="B49" s="79"/>
      <c r="C49" s="79"/>
      <c r="D49" s="79"/>
      <c r="E49" s="80"/>
    </row>
  </sheetData>
  <sheetProtection algorithmName="SHA-512" hashValue="Ot2D9zDUhvyR0WACjUOpNzfzMD1eZbhPmmLaT3RNq3S0qHlWx443NTEdvhteAPtNKVB1GS7uBBRCWdaTMK6cQg==" saltValue="QAvFlBnLbnefHmQu4+8hQw==" spinCount="100000" sheet="1" objects="1" scenarios="1"/>
  <mergeCells count="42">
    <mergeCell ref="D14:E14"/>
    <mergeCell ref="D15:E15"/>
    <mergeCell ref="D16:E16"/>
    <mergeCell ref="A23:E24"/>
    <mergeCell ref="D21:E21"/>
    <mergeCell ref="A11:A16"/>
    <mergeCell ref="B11:E11"/>
    <mergeCell ref="B12:B13"/>
    <mergeCell ref="D12:E12"/>
    <mergeCell ref="D13:E13"/>
    <mergeCell ref="A1:E7"/>
    <mergeCell ref="H1:I1"/>
    <mergeCell ref="A8:A10"/>
    <mergeCell ref="B8:E8"/>
    <mergeCell ref="D9:D10"/>
    <mergeCell ref="H24:I24"/>
    <mergeCell ref="A33:A35"/>
    <mergeCell ref="B33:E33"/>
    <mergeCell ref="A17:A22"/>
    <mergeCell ref="B17:E17"/>
    <mergeCell ref="D18:E18"/>
    <mergeCell ref="D19:E19"/>
    <mergeCell ref="D20:E20"/>
    <mergeCell ref="D22:E22"/>
    <mergeCell ref="A26:E32"/>
    <mergeCell ref="D34:E35"/>
    <mergeCell ref="D46:E46"/>
    <mergeCell ref="D47:E47"/>
    <mergeCell ref="A48:E49"/>
    <mergeCell ref="B36:E36"/>
    <mergeCell ref="B37:B38"/>
    <mergeCell ref="D37:E37"/>
    <mergeCell ref="D38:E38"/>
    <mergeCell ref="A42:A47"/>
    <mergeCell ref="B42:E42"/>
    <mergeCell ref="D43:E43"/>
    <mergeCell ref="D44:E44"/>
    <mergeCell ref="D45:E45"/>
    <mergeCell ref="D39:E39"/>
    <mergeCell ref="D40:E40"/>
    <mergeCell ref="D41:E41"/>
    <mergeCell ref="A36:A41"/>
  </mergeCells>
  <phoneticPr fontId="16" type="noConversion"/>
  <hyperlinks>
    <hyperlink ref="A23" r:id="rId1"/>
    <hyperlink ref="A48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7173" r:id="rId6">
          <objectPr defaultSize="0" autoPict="0" r:id="rId7">
            <anchor moveWithCells="1">
              <from>
                <xdr:col>0</xdr:col>
                <xdr:colOff>76200</xdr:colOff>
                <xdr:row>0</xdr:row>
                <xdr:rowOff>95250</xdr:rowOff>
              </from>
              <to>
                <xdr:col>1</xdr:col>
                <xdr:colOff>1231900</xdr:colOff>
                <xdr:row>2</xdr:row>
                <xdr:rowOff>203200</xdr:rowOff>
              </to>
            </anchor>
          </objectPr>
        </oleObject>
      </mc:Choice>
      <mc:Fallback>
        <oleObject progId="CorelDraw.Graphic.18" shapeId="7173" r:id="rId6"/>
      </mc:Fallback>
    </mc:AlternateContent>
    <mc:AlternateContent xmlns:mc="http://schemas.openxmlformats.org/markup-compatibility/2006">
      <mc:Choice Requires="x14">
        <oleObject progId="CorelDraw.Graphic.18" shapeId="7174" r:id="rId8">
          <objectPr defaultSize="0" autoPict="0" r:id="rId7">
            <anchor moveWithCells="1">
              <from>
                <xdr:col>0</xdr:col>
                <xdr:colOff>88900</xdr:colOff>
                <xdr:row>25</xdr:row>
                <xdr:rowOff>95250</xdr:rowOff>
              </from>
              <to>
                <xdr:col>1</xdr:col>
                <xdr:colOff>1238250</xdr:colOff>
                <xdr:row>27</xdr:row>
                <xdr:rowOff>203200</xdr:rowOff>
              </to>
            </anchor>
          </objectPr>
        </oleObject>
      </mc:Choice>
      <mc:Fallback>
        <oleObject progId="CorelDraw.Graphic.18" shapeId="7174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9" name="Drop Down 1">
              <controlPr defaultSize="0" autoLine="0" autoPict="0">
                <anchor>
                  <from>
                    <xdr:col>1</xdr:col>
                    <xdr:colOff>438150</xdr:colOff>
                    <xdr:row>11</xdr:row>
                    <xdr:rowOff>88900</xdr:rowOff>
                  </from>
                  <to>
                    <xdr:col>1</xdr:col>
                    <xdr:colOff>2552700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Drop Down 4">
              <controlPr defaultSize="0" autoLine="0" autoPict="0">
                <anchor>
                  <from>
                    <xdr:col>1</xdr:col>
                    <xdr:colOff>469900</xdr:colOff>
                    <xdr:row>36</xdr:row>
                    <xdr:rowOff>95250</xdr:rowOff>
                  </from>
                  <to>
                    <xdr:col>1</xdr:col>
                    <xdr:colOff>2527300</xdr:colOff>
                    <xdr:row>37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zoomScale="85" zoomScaleNormal="85" workbookViewId="0">
      <selection activeCell="E45" sqref="E45"/>
    </sheetView>
  </sheetViews>
  <sheetFormatPr defaultColWidth="9.1796875" defaultRowHeight="14.5"/>
  <cols>
    <col min="1" max="1" width="4.54296875" customWidth="1"/>
    <col min="2" max="2" width="44.54296875" customWidth="1"/>
    <col min="3" max="3" width="30.54296875" customWidth="1"/>
    <col min="4" max="4" width="7.54296875" customWidth="1"/>
    <col min="5" max="5" width="25.54296875" customWidth="1"/>
    <col min="6" max="6" width="10.1796875" customWidth="1"/>
    <col min="7" max="7" width="17.26953125" hidden="1" customWidth="1"/>
    <col min="8" max="8" width="17.54296875" hidden="1" customWidth="1"/>
    <col min="9" max="9" width="16.54296875" hidden="1" customWidth="1"/>
    <col min="10" max="10" width="23.54296875" hidden="1" customWidth="1"/>
    <col min="11" max="11" width="14.453125" hidden="1" customWidth="1"/>
    <col min="12" max="14" width="8.54296875" customWidth="1"/>
  </cols>
  <sheetData>
    <row r="1" spans="1:10" ht="20.149999999999999" customHeight="1">
      <c r="A1" s="127" t="s">
        <v>41</v>
      </c>
      <c r="B1" s="113"/>
      <c r="C1" s="113"/>
      <c r="D1" s="113"/>
      <c r="E1" s="114"/>
      <c r="H1" s="104" t="s">
        <v>81</v>
      </c>
      <c r="I1" s="104"/>
      <c r="J1" s="9">
        <v>6</v>
      </c>
    </row>
    <row r="2" spans="1:10" ht="20.149999999999999" customHeight="1">
      <c r="A2" s="115"/>
      <c r="B2" s="116"/>
      <c r="C2" s="116"/>
      <c r="D2" s="116"/>
      <c r="E2" s="117"/>
    </row>
    <row r="3" spans="1:10" ht="20.149999999999999" customHeight="1">
      <c r="A3" s="115"/>
      <c r="B3" s="116"/>
      <c r="C3" s="116"/>
      <c r="D3" s="116"/>
      <c r="E3" s="117"/>
    </row>
    <row r="4" spans="1:10" ht="20.149999999999999" customHeight="1">
      <c r="A4" s="115"/>
      <c r="B4" s="116"/>
      <c r="C4" s="116"/>
      <c r="D4" s="116"/>
      <c r="E4" s="117"/>
    </row>
    <row r="5" spans="1:10" ht="20.149999999999999" customHeight="1">
      <c r="A5" s="115"/>
      <c r="B5" s="116"/>
      <c r="C5" s="116"/>
      <c r="D5" s="116"/>
      <c r="E5" s="117"/>
    </row>
    <row r="6" spans="1:10" ht="20.149999999999999" customHeight="1">
      <c r="A6" s="115"/>
      <c r="B6" s="116"/>
      <c r="C6" s="116"/>
      <c r="D6" s="116"/>
      <c r="E6" s="117"/>
    </row>
    <row r="7" spans="1:10" ht="20.149999999999999" customHeight="1" thickBot="1">
      <c r="A7" s="118"/>
      <c r="B7" s="119"/>
      <c r="C7" s="119"/>
      <c r="D7" s="119"/>
      <c r="E7" s="120"/>
      <c r="G7" s="1" t="s">
        <v>71</v>
      </c>
      <c r="H7" s="1" t="s">
        <v>72</v>
      </c>
      <c r="I7" s="1" t="s">
        <v>73</v>
      </c>
      <c r="J7" s="1" t="s">
        <v>74</v>
      </c>
    </row>
    <row r="8" spans="1:10" ht="30" customHeight="1">
      <c r="A8" s="90">
        <v>1</v>
      </c>
      <c r="B8" s="105" t="s">
        <v>58</v>
      </c>
      <c r="C8" s="106"/>
      <c r="D8" s="106"/>
      <c r="E8" s="107"/>
      <c r="G8" s="38" t="s">
        <v>49</v>
      </c>
      <c r="H8" s="8">
        <v>10.9</v>
      </c>
      <c r="I8" s="8">
        <f>B10*C10/1000000*H8+E10/1000</f>
        <v>3.7624000000000004</v>
      </c>
      <c r="J8" s="9" t="s">
        <v>1</v>
      </c>
    </row>
    <row r="9" spans="1:10" ht="20.149999999999999" customHeight="1">
      <c r="A9" s="90"/>
      <c r="B9" s="5" t="s">
        <v>131</v>
      </c>
      <c r="C9" s="6" t="s">
        <v>60</v>
      </c>
      <c r="D9" s="125" t="s">
        <v>0</v>
      </c>
      <c r="E9" s="24" t="s">
        <v>61</v>
      </c>
      <c r="G9" s="38" t="s">
        <v>50</v>
      </c>
      <c r="H9" s="8">
        <v>12.2</v>
      </c>
      <c r="I9" s="8">
        <f>B10*C10/1000000*H9+E10/1000</f>
        <v>4.1991999999999994</v>
      </c>
      <c r="J9" s="8">
        <f>IF(J1=2,I9,J10)</f>
        <v>3.7960000000000003</v>
      </c>
    </row>
    <row r="10" spans="1:10" ht="30" customHeight="1" thickBot="1">
      <c r="A10" s="91"/>
      <c r="B10" s="39">
        <v>560</v>
      </c>
      <c r="C10" s="40">
        <v>600</v>
      </c>
      <c r="D10" s="125"/>
      <c r="E10" s="41">
        <v>100</v>
      </c>
      <c r="G10" s="38" t="s">
        <v>51</v>
      </c>
      <c r="H10" s="8">
        <v>12.1</v>
      </c>
      <c r="I10" s="8">
        <f>B10*C10/1000000*H10+E10/1000</f>
        <v>4.1655999999999995</v>
      </c>
      <c r="J10" s="8">
        <f>IF(J1=3,I10,J11)</f>
        <v>3.7960000000000003</v>
      </c>
    </row>
    <row r="11" spans="1:10" ht="40" customHeight="1">
      <c r="A11" s="101">
        <v>2</v>
      </c>
      <c r="B11" s="81" t="s">
        <v>98</v>
      </c>
      <c r="C11" s="82"/>
      <c r="D11" s="82"/>
      <c r="E11" s="83"/>
      <c r="G11" s="38" t="s">
        <v>52</v>
      </c>
      <c r="H11" s="8">
        <v>14.5</v>
      </c>
      <c r="I11" s="8">
        <f>B10*C10/1000000*H11+E10/1000</f>
        <v>4.9719999999999995</v>
      </c>
      <c r="J11" s="8">
        <f>IF(J1=4,I11,J12)</f>
        <v>3.7960000000000003</v>
      </c>
    </row>
    <row r="12" spans="1:10" ht="20.149999999999999" customHeight="1">
      <c r="A12" s="102"/>
      <c r="B12" s="126"/>
      <c r="C12" s="26" t="s">
        <v>62</v>
      </c>
      <c r="D12" s="85" t="s">
        <v>63</v>
      </c>
      <c r="E12" s="86"/>
      <c r="G12" s="38" t="s">
        <v>53</v>
      </c>
      <c r="H12" s="8">
        <v>16.5</v>
      </c>
      <c r="I12" s="8">
        <f>B10*C10/1000000*H12+E10/1000</f>
        <v>5.6440000000000001</v>
      </c>
      <c r="J12" s="8">
        <f>IF(J1=5,I12,J13)</f>
        <v>3.7960000000000003</v>
      </c>
    </row>
    <row r="13" spans="1:10" ht="20.149999999999999" customHeight="1">
      <c r="A13" s="102"/>
      <c r="B13" s="126"/>
      <c r="C13" s="37">
        <f>IF(J1=1,I8,J9)</f>
        <v>3.7960000000000003</v>
      </c>
      <c r="D13" s="87">
        <f>C13*B10</f>
        <v>2125.7600000000002</v>
      </c>
      <c r="E13" s="88"/>
      <c r="F13" s="13"/>
      <c r="G13" s="38" t="s">
        <v>54</v>
      </c>
      <c r="H13" s="8">
        <v>11</v>
      </c>
      <c r="I13" s="8">
        <f>B10*C10/1000000*H13+E10/1000</f>
        <v>3.7960000000000003</v>
      </c>
      <c r="J13" s="8">
        <f>IF(J1=6,I13,J14)</f>
        <v>3.7960000000000003</v>
      </c>
    </row>
    <row r="14" spans="1:10" ht="20.149999999999999" customHeight="1">
      <c r="A14" s="102"/>
      <c r="B14" s="28" t="s">
        <v>66</v>
      </c>
      <c r="C14" s="27" t="s">
        <v>68</v>
      </c>
      <c r="D14" s="95" t="s">
        <v>138</v>
      </c>
      <c r="E14" s="96"/>
      <c r="F14" s="59"/>
      <c r="G14" s="38" t="s">
        <v>55</v>
      </c>
      <c r="H14" s="8">
        <v>12</v>
      </c>
      <c r="I14" s="8">
        <f>B10*C10/1000000*H14+E10/1000</f>
        <v>4.1319999999999997</v>
      </c>
      <c r="J14" s="8">
        <f>IF(J1=7,I14,J15)</f>
        <v>0</v>
      </c>
    </row>
    <row r="15" spans="1:10" ht="20.149999999999999" customHeight="1">
      <c r="A15" s="102"/>
      <c r="B15" s="28" t="s">
        <v>78</v>
      </c>
      <c r="C15" s="57" t="str">
        <f>G17</f>
        <v>0016699</v>
      </c>
      <c r="D15" s="128" t="str">
        <f>H17</f>
        <v>0016703</v>
      </c>
      <c r="E15" s="129"/>
      <c r="F15" s="60"/>
      <c r="G15" s="38" t="s">
        <v>56</v>
      </c>
      <c r="H15" s="8">
        <v>15</v>
      </c>
      <c r="I15" s="8">
        <f>B10*C10/1000000*H15+E10/1000</f>
        <v>5.14</v>
      </c>
      <c r="J15" s="8">
        <f>IF(J1=8,I15,J16)</f>
        <v>0</v>
      </c>
    </row>
    <row r="16" spans="1:10" ht="30" customHeight="1" thickBot="1">
      <c r="A16" s="103"/>
      <c r="B16" s="29" t="s">
        <v>79</v>
      </c>
      <c r="C16" s="58" t="str">
        <f>G18</f>
        <v/>
      </c>
      <c r="D16" s="130" t="str">
        <f>H18</f>
        <v/>
      </c>
      <c r="E16" s="131"/>
      <c r="F16" s="60"/>
      <c r="G16" s="38" t="s">
        <v>57</v>
      </c>
      <c r="H16" s="8">
        <v>11.2</v>
      </c>
      <c r="I16" s="8">
        <f>B10*C10/1000000*H16+E10/1000</f>
        <v>3.8632</v>
      </c>
      <c r="J16" s="8">
        <f>IF(J1=9,I16,J17)</f>
        <v>0</v>
      </c>
    </row>
    <row r="17" spans="1:8" ht="60" customHeight="1">
      <c r="A17" s="89"/>
      <c r="B17" s="92" t="s">
        <v>82</v>
      </c>
      <c r="C17" s="93"/>
      <c r="D17" s="93"/>
      <c r="E17" s="94"/>
      <c r="G17" s="13" t="str">
        <f>IF(B10&gt;720,"слишком высокий фасад",IF(B10&lt;250,"слишком низкий фасад",IF(D13&lt;480,"слишком легкий фасад",IF(D13&lt;750,"0016697",IF(D13&lt;1500,"0016698",IF(D13&lt;3200,"0016699",IF(D13&lt;=9000,"0016700","")))))))</f>
        <v>0016699</v>
      </c>
      <c r="H17" s="13" t="str">
        <f>IF(B10&gt;720,"слишком высокий фасад",IF(B10&lt;250,"слишком низкий фасад",IF(D13&lt;480,"слишком легкий фасад",IF(D13&lt;750,"0016701",IF(D13&lt;1500,"0016702",IF(D13&lt;3200,"0016703",IF(D13&lt;=9000,"0016704","")))))))</f>
        <v>0016703</v>
      </c>
    </row>
    <row r="18" spans="1:8">
      <c r="A18" s="90"/>
      <c r="B18" s="43" t="s">
        <v>70</v>
      </c>
      <c r="C18" s="26" t="s">
        <v>83</v>
      </c>
      <c r="D18" s="85" t="s">
        <v>65</v>
      </c>
      <c r="E18" s="86"/>
      <c r="G18" t="str">
        <f>IF(D13&gt;13500,"слишком тяжелый фасад",IF(D13&gt;9000,"3 механизма 0016700",""))</f>
        <v/>
      </c>
      <c r="H18" t="str">
        <f>IF(D13&gt;13500,"слишком тяжелый фасад",IF(D13&gt;9000,"3 механизма 0016704",""))</f>
        <v/>
      </c>
    </row>
    <row r="19" spans="1:8">
      <c r="A19" s="90"/>
      <c r="B19" s="10" t="s">
        <v>108</v>
      </c>
      <c r="C19" s="3" t="s">
        <v>2</v>
      </c>
      <c r="D19" s="71">
        <v>990</v>
      </c>
      <c r="E19" s="72"/>
    </row>
    <row r="20" spans="1:8">
      <c r="A20" s="90"/>
      <c r="B20" s="10" t="s">
        <v>109</v>
      </c>
      <c r="C20" s="3" t="s">
        <v>3</v>
      </c>
      <c r="D20" s="71">
        <v>1625</v>
      </c>
      <c r="E20" s="72"/>
    </row>
    <row r="21" spans="1:8">
      <c r="A21" s="90"/>
      <c r="B21" s="10" t="s">
        <v>110</v>
      </c>
      <c r="C21" s="3" t="s">
        <v>4</v>
      </c>
      <c r="D21" s="71">
        <v>3200</v>
      </c>
      <c r="E21" s="72"/>
    </row>
    <row r="22" spans="1:8" ht="15" thickBot="1">
      <c r="A22" s="91"/>
      <c r="B22" s="11" t="s">
        <v>111</v>
      </c>
      <c r="C22" s="4" t="s">
        <v>5</v>
      </c>
      <c r="D22" s="73">
        <v>6100</v>
      </c>
      <c r="E22" s="74"/>
    </row>
    <row r="23" spans="1:8">
      <c r="A23" s="75" t="s">
        <v>67</v>
      </c>
      <c r="B23" s="76"/>
      <c r="C23" s="76"/>
      <c r="D23" s="76"/>
      <c r="E23" s="77"/>
    </row>
    <row r="24" spans="1:8" ht="15" thickBot="1">
      <c r="A24" s="78"/>
      <c r="B24" s="79"/>
      <c r="C24" s="79"/>
      <c r="D24" s="79"/>
      <c r="E24" s="80"/>
    </row>
  </sheetData>
  <sheetProtection algorithmName="SHA-512" hashValue="2GjiMM0meInCXHK+Q91WmnUthxqDF0zdXCeZehyp0aXlQM7HEeiZ68w/+jloW4j1ApZ3WQaom3ztQ9xFrWv3Ng==" saltValue="u819qNzswSS1Sekaq0QD9A==" spinCount="100000" sheet="1" objects="1" scenarios="1"/>
  <mergeCells count="21">
    <mergeCell ref="D21:E21"/>
    <mergeCell ref="D22:E22"/>
    <mergeCell ref="A23:E24"/>
    <mergeCell ref="B11:E11"/>
    <mergeCell ref="B12:B13"/>
    <mergeCell ref="D12:E12"/>
    <mergeCell ref="D13:E13"/>
    <mergeCell ref="A17:A22"/>
    <mergeCell ref="B17:E17"/>
    <mergeCell ref="D18:E18"/>
    <mergeCell ref="D19:E19"/>
    <mergeCell ref="D20:E20"/>
    <mergeCell ref="D14:E14"/>
    <mergeCell ref="D15:E15"/>
    <mergeCell ref="A11:A16"/>
    <mergeCell ref="D16:E16"/>
    <mergeCell ref="A1:E7"/>
    <mergeCell ref="H1:I1"/>
    <mergeCell ref="A8:A10"/>
    <mergeCell ref="B8:E8"/>
    <mergeCell ref="D9:D10"/>
  </mergeCells>
  <phoneticPr fontId="16" type="noConversion"/>
  <hyperlinks>
    <hyperlink ref="A23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4" r:id="rId5">
          <objectPr defaultSize="0" autoPict="0" r:id="rId6">
            <anchor moveWithCells="1">
              <from>
                <xdr:col>0</xdr:col>
                <xdr:colOff>114300</xdr:colOff>
                <xdr:row>0</xdr:row>
                <xdr:rowOff>107950</xdr:rowOff>
              </from>
              <to>
                <xdr:col>1</xdr:col>
                <xdr:colOff>1257300</xdr:colOff>
                <xdr:row>2</xdr:row>
                <xdr:rowOff>203200</xdr:rowOff>
              </to>
            </anchor>
          </objectPr>
        </oleObject>
      </mc:Choice>
      <mc:Fallback>
        <oleObject progId="CorelDraw.Graphic.18" shapeId="205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393700</xdr:colOff>
                    <xdr:row>11</xdr:row>
                    <xdr:rowOff>69850</xdr:rowOff>
                  </from>
                  <to>
                    <xdr:col>1</xdr:col>
                    <xdr:colOff>2565400</xdr:colOff>
                    <xdr:row>12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5"/>
  <sheetViews>
    <sheetView topLeftCell="B23" zoomScaleNormal="100" workbookViewId="0">
      <selection activeCell="E42" sqref="E42:G42"/>
    </sheetView>
  </sheetViews>
  <sheetFormatPr defaultColWidth="9.1796875" defaultRowHeight="14.5"/>
  <cols>
    <col min="1" max="1" width="4.54296875" customWidth="1"/>
    <col min="2" max="2" width="40.54296875" customWidth="1"/>
    <col min="3" max="5" width="21.54296875" customWidth="1"/>
    <col min="6" max="6" width="7.54296875" customWidth="1"/>
    <col min="7" max="7" width="14.54296875" customWidth="1"/>
    <col min="8" max="8" width="5.1796875" customWidth="1"/>
    <col min="9" max="9" width="24.81640625" hidden="1" customWidth="1"/>
    <col min="10" max="10" width="19" hidden="1" customWidth="1"/>
    <col min="11" max="11" width="12.54296875" hidden="1" customWidth="1"/>
    <col min="12" max="12" width="15.1796875" hidden="1" customWidth="1"/>
    <col min="13" max="13" width="19.1796875" customWidth="1"/>
    <col min="14" max="16" width="8.54296875" customWidth="1"/>
  </cols>
  <sheetData>
    <row r="1" spans="1:12" ht="20.149999999999999" customHeight="1">
      <c r="A1" s="127" t="s">
        <v>42</v>
      </c>
      <c r="B1" s="113"/>
      <c r="C1" s="113"/>
      <c r="D1" s="113"/>
      <c r="E1" s="113"/>
      <c r="F1" s="113"/>
      <c r="G1" s="114"/>
      <c r="J1" s="104" t="s">
        <v>88</v>
      </c>
      <c r="K1" s="104"/>
      <c r="L1" s="9">
        <v>1</v>
      </c>
    </row>
    <row r="2" spans="1:12" ht="20.149999999999999" customHeight="1">
      <c r="A2" s="115"/>
      <c r="B2" s="116"/>
      <c r="C2" s="116"/>
      <c r="D2" s="116"/>
      <c r="E2" s="116"/>
      <c r="F2" s="116"/>
      <c r="G2" s="117"/>
    </row>
    <row r="3" spans="1:12" ht="20.149999999999999" customHeight="1">
      <c r="A3" s="115"/>
      <c r="B3" s="116"/>
      <c r="C3" s="116"/>
      <c r="D3" s="116"/>
      <c r="E3" s="116"/>
      <c r="F3" s="116"/>
      <c r="G3" s="117"/>
    </row>
    <row r="4" spans="1:12" ht="20.149999999999999" customHeight="1">
      <c r="A4" s="115"/>
      <c r="B4" s="116"/>
      <c r="C4" s="116"/>
      <c r="D4" s="116"/>
      <c r="E4" s="116"/>
      <c r="F4" s="116"/>
      <c r="G4" s="117"/>
    </row>
    <row r="5" spans="1:12" ht="20.149999999999999" customHeight="1">
      <c r="A5" s="115"/>
      <c r="B5" s="116"/>
      <c r="C5" s="116"/>
      <c r="D5" s="116"/>
      <c r="E5" s="116"/>
      <c r="F5" s="116"/>
      <c r="G5" s="117"/>
    </row>
    <row r="6" spans="1:12" ht="20.149999999999999" customHeight="1">
      <c r="A6" s="115"/>
      <c r="B6" s="116"/>
      <c r="C6" s="116"/>
      <c r="D6" s="116"/>
      <c r="E6" s="116"/>
      <c r="F6" s="116"/>
      <c r="G6" s="117"/>
    </row>
    <row r="7" spans="1:12" ht="20.149999999999999" customHeight="1" thickBot="1">
      <c r="A7" s="118"/>
      <c r="B7" s="119"/>
      <c r="C7" s="119"/>
      <c r="D7" s="119"/>
      <c r="E7" s="119"/>
      <c r="F7" s="119"/>
      <c r="G7" s="120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102">
        <v>1</v>
      </c>
      <c r="B8" s="167" t="s">
        <v>58</v>
      </c>
      <c r="C8" s="168"/>
      <c r="D8" s="168"/>
      <c r="E8" s="168"/>
      <c r="F8" s="168"/>
      <c r="G8" s="169"/>
      <c r="I8" s="1" t="s">
        <v>49</v>
      </c>
      <c r="J8" s="8">
        <v>10.9</v>
      </c>
      <c r="K8" s="8">
        <f>B10*C10/1000000*J8+F10/1000</f>
        <v>2.7160000000000002</v>
      </c>
      <c r="L8" s="9" t="s">
        <v>1</v>
      </c>
    </row>
    <row r="9" spans="1:12" ht="20.149999999999999" customHeight="1">
      <c r="A9" s="102"/>
      <c r="B9" s="2" t="s">
        <v>59</v>
      </c>
      <c r="C9" s="85" t="s">
        <v>60</v>
      </c>
      <c r="D9" s="85"/>
      <c r="E9" s="170" t="s">
        <v>0</v>
      </c>
      <c r="F9" s="85" t="s">
        <v>61</v>
      </c>
      <c r="G9" s="86"/>
      <c r="I9" s="1" t="s">
        <v>50</v>
      </c>
      <c r="J9" s="8">
        <v>12.2</v>
      </c>
      <c r="K9" s="8">
        <f>B10*C10/1000000*J9+F10/1000</f>
        <v>3.028</v>
      </c>
      <c r="L9" s="8">
        <f>IF(L1=2,K9,L10)</f>
        <v>0</v>
      </c>
    </row>
    <row r="10" spans="1:12" ht="30" customHeight="1" thickBot="1">
      <c r="A10" s="103"/>
      <c r="B10" s="7">
        <v>400</v>
      </c>
      <c r="C10" s="164">
        <v>600</v>
      </c>
      <c r="D10" s="164"/>
      <c r="E10" s="171"/>
      <c r="F10" s="164">
        <v>100</v>
      </c>
      <c r="G10" s="172"/>
      <c r="I10" s="1" t="s">
        <v>51</v>
      </c>
      <c r="J10" s="8">
        <v>12.1</v>
      </c>
      <c r="K10" s="8">
        <f>B10*C10/1000000*J10+F10/1000</f>
        <v>3.004</v>
      </c>
      <c r="L10" s="8">
        <f>IF(L1=3,K10,L11)</f>
        <v>0</v>
      </c>
    </row>
    <row r="11" spans="1:12" ht="40" customHeight="1">
      <c r="A11" s="101">
        <v>2</v>
      </c>
      <c r="B11" s="146" t="s">
        <v>93</v>
      </c>
      <c r="C11" s="147"/>
      <c r="D11" s="147"/>
      <c r="E11" s="147"/>
      <c r="F11" s="147"/>
      <c r="G11" s="148"/>
      <c r="I11" s="1" t="s">
        <v>52</v>
      </c>
      <c r="J11" s="8">
        <v>14.5</v>
      </c>
      <c r="K11" s="8">
        <f>B10*C10/1000000*J11+F10/1000</f>
        <v>3.58</v>
      </c>
      <c r="L11" s="8">
        <f>IF(L1=4,K11,L12)</f>
        <v>0</v>
      </c>
    </row>
    <row r="12" spans="1:12" ht="20.149999999999999" customHeight="1">
      <c r="A12" s="102"/>
      <c r="B12" s="126"/>
      <c r="C12" s="132" t="s">
        <v>62</v>
      </c>
      <c r="D12" s="133"/>
      <c r="E12" s="132" t="s">
        <v>63</v>
      </c>
      <c r="F12" s="144"/>
      <c r="G12" s="145"/>
      <c r="I12" s="1" t="s">
        <v>53</v>
      </c>
      <c r="J12" s="8">
        <v>16.5</v>
      </c>
      <c r="K12" s="8">
        <f>B10*C10/1000000*J12+F10/1000</f>
        <v>4.0599999999999996</v>
      </c>
      <c r="L12" s="8">
        <f>IF(L1=5,K12,L13)</f>
        <v>0</v>
      </c>
    </row>
    <row r="13" spans="1:12" ht="20.149999999999999" customHeight="1">
      <c r="A13" s="102"/>
      <c r="B13" s="126"/>
      <c r="C13" s="158">
        <f>IF(L1=1,K8,L9)</f>
        <v>2.7160000000000002</v>
      </c>
      <c r="D13" s="159"/>
      <c r="E13" s="155">
        <f>C13*B10</f>
        <v>1086.4000000000001</v>
      </c>
      <c r="F13" s="156"/>
      <c r="G13" s="157"/>
      <c r="H13" s="12"/>
      <c r="I13" s="1" t="s">
        <v>54</v>
      </c>
      <c r="J13" s="8">
        <v>11</v>
      </c>
      <c r="K13" s="8">
        <f>B10*C10/1000000*J13+F10/1000</f>
        <v>2.7399999999999998</v>
      </c>
      <c r="L13" s="8">
        <f>IF(L1=6,K13,L14)</f>
        <v>0</v>
      </c>
    </row>
    <row r="14" spans="1:12" ht="20.149999999999999" customHeight="1">
      <c r="A14" s="102"/>
      <c r="B14" s="149" t="s">
        <v>95</v>
      </c>
      <c r="C14" s="67" t="s">
        <v>89</v>
      </c>
      <c r="D14" s="67" t="s">
        <v>90</v>
      </c>
      <c r="E14" s="68" t="s">
        <v>91</v>
      </c>
      <c r="F14" s="151" t="s">
        <v>92</v>
      </c>
      <c r="G14" s="152"/>
      <c r="H14" s="12"/>
      <c r="I14" s="1" t="s">
        <v>55</v>
      </c>
      <c r="J14" s="8">
        <v>12</v>
      </c>
      <c r="K14" s="8">
        <f>B10*C10/1000000*J14+F10/1000</f>
        <v>2.98</v>
      </c>
      <c r="L14" s="8">
        <f>IF(L1=7,K14,L15)</f>
        <v>0</v>
      </c>
    </row>
    <row r="15" spans="1:12" ht="30" customHeight="1" thickBot="1">
      <c r="A15" s="103"/>
      <c r="B15" s="150"/>
      <c r="C15" s="42" t="str">
        <f>I17</f>
        <v>0023383</v>
      </c>
      <c r="D15" s="42" t="str">
        <f>I18</f>
        <v/>
      </c>
      <c r="E15" s="44" t="str">
        <f>J17</f>
        <v>0023384</v>
      </c>
      <c r="F15" s="153" t="str">
        <f>J18</f>
        <v/>
      </c>
      <c r="G15" s="154"/>
      <c r="I15" s="1" t="s">
        <v>56</v>
      </c>
      <c r="J15" s="8">
        <v>15</v>
      </c>
      <c r="K15" s="8">
        <f>B10*C10/1000000*J15+F10/1000</f>
        <v>3.6999999999999997</v>
      </c>
      <c r="L15" s="8">
        <f>IF(L1=8,K15,L16)</f>
        <v>0</v>
      </c>
    </row>
    <row r="16" spans="1:12" ht="61.75" customHeight="1">
      <c r="A16" s="89">
        <v>4</v>
      </c>
      <c r="B16" s="92" t="s">
        <v>84</v>
      </c>
      <c r="C16" s="93"/>
      <c r="D16" s="93"/>
      <c r="E16" s="93"/>
      <c r="F16" s="93"/>
      <c r="G16" s="94"/>
      <c r="I16" s="1" t="s">
        <v>57</v>
      </c>
      <c r="J16" s="8">
        <v>11.2</v>
      </c>
      <c r="K16" s="8">
        <f>B10*C10/1000000*J16+F10/1000</f>
        <v>2.7879999999999998</v>
      </c>
      <c r="L16" s="8">
        <f>IF(L1=9,K16,L17)</f>
        <v>0</v>
      </c>
    </row>
    <row r="17" spans="1:12" ht="27" customHeight="1">
      <c r="A17" s="90"/>
      <c r="B17" s="43" t="s">
        <v>96</v>
      </c>
      <c r="C17" s="132" t="s">
        <v>83</v>
      </c>
      <c r="D17" s="133"/>
      <c r="E17" s="132" t="s">
        <v>65</v>
      </c>
      <c r="F17" s="144"/>
      <c r="G17" s="145"/>
      <c r="I17" s="13" t="str">
        <f>IF(B10&gt;600,"слишком высокий фасад",IF(B10&lt;250,"слишком низкий фасад",IF(E13&lt;200,"слишком легкий фасад",IF(E13&lt;500,"0023377",IF(E13&lt;960,"0023379",IF(E13&lt;=2350,"0023383",""))))))</f>
        <v>0023383</v>
      </c>
      <c r="J17" s="13" t="str">
        <f>IF(B10&gt;600,"слишком высокий фасад",IF(B10&lt;250,"слишком низкий фасад",IF(E13&lt;200,"слишком маленький фасад",IF(E13&lt;500,"0023378",IF(E13&lt;960,"0023381",IF(E13&lt;=2350,"0023384",""))))))</f>
        <v>0023384</v>
      </c>
    </row>
    <row r="18" spans="1:12" ht="15.65" customHeight="1">
      <c r="A18" s="90"/>
      <c r="B18" s="10" t="s">
        <v>179</v>
      </c>
      <c r="C18" s="134" t="s">
        <v>7</v>
      </c>
      <c r="D18" s="135"/>
      <c r="E18" s="141">
        <v>600</v>
      </c>
      <c r="F18" s="142"/>
      <c r="G18" s="143"/>
      <c r="I18" s="13" t="str">
        <f>IF(B10&gt;600,"слишком высокий фасад",IF(B10&lt;250,"слишком низкий фасад",IF(E13&gt;4700,"слишком большой фасад",IF(E13&gt;2350,"2 комплекта 0023383",""))))</f>
        <v/>
      </c>
      <c r="J18" s="13" t="str">
        <f>IF(B10&gt;600,"слишком высокий фасад",IF(B10&lt;250,"слишком низкий фасад",IF(E13&gt;4700,"слишком большой фасад",IF(E13&gt;2350,"2 комплекта 0023384",""))))</f>
        <v/>
      </c>
    </row>
    <row r="19" spans="1:12" ht="15.65" customHeight="1">
      <c r="A19" s="90"/>
      <c r="B19" s="10" t="s">
        <v>180</v>
      </c>
      <c r="C19" s="134" t="s">
        <v>6</v>
      </c>
      <c r="D19" s="135"/>
      <c r="E19" s="141">
        <v>1000</v>
      </c>
      <c r="F19" s="142"/>
      <c r="G19" s="143"/>
    </row>
    <row r="20" spans="1:12" ht="15.65" customHeight="1" thickBot="1">
      <c r="A20" s="91"/>
      <c r="B20" s="10" t="s">
        <v>181</v>
      </c>
      <c r="C20" s="136" t="s">
        <v>8</v>
      </c>
      <c r="D20" s="137"/>
      <c r="E20" s="138">
        <v>1655</v>
      </c>
      <c r="F20" s="139"/>
      <c r="G20" s="140"/>
    </row>
    <row r="21" spans="1:12" ht="15" customHeight="1">
      <c r="A21" s="75" t="s">
        <v>67</v>
      </c>
      <c r="B21" s="76"/>
      <c r="C21" s="76"/>
      <c r="D21" s="76"/>
      <c r="E21" s="76"/>
      <c r="F21" s="76"/>
      <c r="G21" s="77"/>
    </row>
    <row r="22" spans="1:12" ht="15" customHeight="1" thickBot="1">
      <c r="A22" s="78"/>
      <c r="B22" s="79"/>
      <c r="C22" s="79"/>
      <c r="D22" s="79"/>
      <c r="E22" s="79"/>
      <c r="F22" s="79"/>
      <c r="G22" s="80"/>
    </row>
    <row r="23" spans="1:12" ht="30" customHeight="1" thickBot="1"/>
    <row r="24" spans="1:12" ht="20.149999999999999" customHeight="1">
      <c r="A24" s="127" t="s">
        <v>85</v>
      </c>
      <c r="B24" s="113"/>
      <c r="C24" s="113"/>
      <c r="D24" s="113"/>
      <c r="E24" s="113"/>
      <c r="F24" s="113"/>
      <c r="G24" s="114"/>
      <c r="J24" s="104" t="s">
        <v>88</v>
      </c>
      <c r="K24" s="104"/>
      <c r="L24" s="9">
        <v>9</v>
      </c>
    </row>
    <row r="25" spans="1:12" ht="20.149999999999999" customHeight="1">
      <c r="A25" s="115"/>
      <c r="B25" s="116"/>
      <c r="C25" s="116"/>
      <c r="D25" s="116"/>
      <c r="E25" s="116"/>
      <c r="F25" s="116"/>
      <c r="G25" s="117"/>
    </row>
    <row r="26" spans="1:12" ht="20.149999999999999" customHeight="1">
      <c r="A26" s="115"/>
      <c r="B26" s="116"/>
      <c r="C26" s="116"/>
      <c r="D26" s="116"/>
      <c r="E26" s="116"/>
      <c r="F26" s="116"/>
      <c r="G26" s="117"/>
    </row>
    <row r="27" spans="1:12" ht="20.149999999999999" customHeight="1">
      <c r="A27" s="115"/>
      <c r="B27" s="116"/>
      <c r="C27" s="116"/>
      <c r="D27" s="116"/>
      <c r="E27" s="116"/>
      <c r="F27" s="116"/>
      <c r="G27" s="117"/>
    </row>
    <row r="28" spans="1:12" ht="20.149999999999999" customHeight="1">
      <c r="A28" s="115"/>
      <c r="B28" s="116"/>
      <c r="C28" s="116"/>
      <c r="D28" s="116"/>
      <c r="E28" s="116"/>
      <c r="F28" s="116"/>
      <c r="G28" s="117"/>
    </row>
    <row r="29" spans="1:12" ht="20.149999999999999" customHeight="1">
      <c r="A29" s="115"/>
      <c r="B29" s="116"/>
      <c r="C29" s="116"/>
      <c r="D29" s="116"/>
      <c r="E29" s="116"/>
      <c r="F29" s="116"/>
      <c r="G29" s="117"/>
    </row>
    <row r="30" spans="1:12" ht="20.149999999999999" customHeight="1" thickBot="1">
      <c r="A30" s="118"/>
      <c r="B30" s="160"/>
      <c r="C30" s="160"/>
      <c r="D30" s="160"/>
      <c r="E30" s="160"/>
      <c r="F30" s="160"/>
      <c r="G30" s="117"/>
      <c r="I30" s="1" t="s">
        <v>71</v>
      </c>
      <c r="J30" s="1" t="s">
        <v>72</v>
      </c>
      <c r="K30" s="1" t="s">
        <v>73</v>
      </c>
      <c r="L30" s="1" t="s">
        <v>74</v>
      </c>
    </row>
    <row r="31" spans="1:12" ht="30" customHeight="1">
      <c r="A31" s="102">
        <v>1</v>
      </c>
      <c r="B31" s="161" t="s">
        <v>87</v>
      </c>
      <c r="C31" s="162"/>
      <c r="D31" s="162"/>
      <c r="E31" s="162"/>
      <c r="F31" s="162"/>
      <c r="G31" s="163"/>
      <c r="I31" s="1" t="s">
        <v>49</v>
      </c>
      <c r="J31" s="8">
        <v>10.9</v>
      </c>
      <c r="K31" s="8">
        <f>B33*C33/1000000*J31</f>
        <v>3.4444000000000004</v>
      </c>
      <c r="L31" s="9" t="s">
        <v>1</v>
      </c>
    </row>
    <row r="32" spans="1:12" ht="20.149999999999999" customHeight="1">
      <c r="A32" s="102"/>
      <c r="B32" s="2" t="s">
        <v>59</v>
      </c>
      <c r="C32" s="85" t="s">
        <v>60</v>
      </c>
      <c r="D32" s="85"/>
      <c r="E32" s="85" t="s">
        <v>86</v>
      </c>
      <c r="F32" s="85"/>
      <c r="G32" s="86"/>
      <c r="I32" s="1" t="s">
        <v>50</v>
      </c>
      <c r="J32" s="8">
        <v>12.2</v>
      </c>
      <c r="K32" s="8">
        <f>B33*C33/1000000*J32</f>
        <v>3.8552</v>
      </c>
      <c r="L32" s="8">
        <f>IF(L24=2,K32,L33)</f>
        <v>3.5391999999999997</v>
      </c>
    </row>
    <row r="33" spans="1:12" ht="30" customHeight="1" thickBot="1">
      <c r="A33" s="103"/>
      <c r="B33" s="7">
        <v>395</v>
      </c>
      <c r="C33" s="164">
        <v>800</v>
      </c>
      <c r="D33" s="164"/>
      <c r="E33" s="165"/>
      <c r="F33" s="165"/>
      <c r="G33" s="166"/>
      <c r="I33" s="1" t="s">
        <v>51</v>
      </c>
      <c r="J33" s="8">
        <v>12.1</v>
      </c>
      <c r="K33" s="8">
        <f>B33*C33/1000000*J33</f>
        <v>3.8235999999999999</v>
      </c>
      <c r="L33" s="8">
        <f>IF(L24=3,K33,L34)</f>
        <v>3.5391999999999997</v>
      </c>
    </row>
    <row r="34" spans="1:12" ht="40" customHeight="1">
      <c r="A34" s="101">
        <v>2</v>
      </c>
      <c r="B34" s="146" t="s">
        <v>94</v>
      </c>
      <c r="C34" s="147"/>
      <c r="D34" s="147"/>
      <c r="E34" s="147"/>
      <c r="F34" s="147"/>
      <c r="G34" s="148"/>
      <c r="I34" s="1" t="s">
        <v>52</v>
      </c>
      <c r="J34" s="8">
        <v>14.5</v>
      </c>
      <c r="K34" s="8">
        <f>B33*C33/1000000*J34</f>
        <v>4.5819999999999999</v>
      </c>
      <c r="L34" s="8">
        <f>IF(L24=4,K34,L35)</f>
        <v>3.5391999999999997</v>
      </c>
    </row>
    <row r="35" spans="1:12" ht="20.149999999999999" customHeight="1">
      <c r="A35" s="102"/>
      <c r="B35" s="126"/>
      <c r="C35" s="132" t="s">
        <v>62</v>
      </c>
      <c r="D35" s="133"/>
      <c r="E35" s="132" t="s">
        <v>63</v>
      </c>
      <c r="F35" s="144"/>
      <c r="G35" s="145"/>
      <c r="I35" s="1" t="s">
        <v>53</v>
      </c>
      <c r="J35" s="8">
        <v>16.5</v>
      </c>
      <c r="K35" s="8">
        <f>B33*C33/1000000*J35</f>
        <v>5.2140000000000004</v>
      </c>
      <c r="L35" s="8">
        <f>IF(L24=5,K35,L36)</f>
        <v>3.5391999999999997</v>
      </c>
    </row>
    <row r="36" spans="1:12" ht="20.149999999999999" customHeight="1">
      <c r="A36" s="102"/>
      <c r="B36" s="126"/>
      <c r="C36" s="158">
        <f>IF(L24=1,K31,L32)</f>
        <v>3.5391999999999997</v>
      </c>
      <c r="D36" s="159"/>
      <c r="E36" s="155">
        <f>C36*B33</f>
        <v>1397.9839999999999</v>
      </c>
      <c r="F36" s="156"/>
      <c r="G36" s="157"/>
      <c r="H36" s="12"/>
      <c r="I36" s="1" t="s">
        <v>54</v>
      </c>
      <c r="J36" s="8">
        <v>11</v>
      </c>
      <c r="K36" s="8">
        <f>B33*C33/1000000*J36</f>
        <v>3.476</v>
      </c>
      <c r="L36" s="8">
        <f>IF(L24=6,K36,L37)</f>
        <v>3.5391999999999997</v>
      </c>
    </row>
    <row r="37" spans="1:12" ht="20.149999999999999" customHeight="1">
      <c r="A37" s="102"/>
      <c r="B37" s="149" t="s">
        <v>95</v>
      </c>
      <c r="C37" s="67" t="s">
        <v>89</v>
      </c>
      <c r="D37" s="67" t="s">
        <v>90</v>
      </c>
      <c r="E37" s="68" t="s">
        <v>91</v>
      </c>
      <c r="F37" s="151" t="s">
        <v>92</v>
      </c>
      <c r="G37" s="152"/>
      <c r="H37" s="12"/>
      <c r="I37" s="1" t="s">
        <v>55</v>
      </c>
      <c r="J37" s="8">
        <v>12</v>
      </c>
      <c r="K37" s="8">
        <f>B33*C33/1000000*J37</f>
        <v>3.7919999999999998</v>
      </c>
      <c r="L37" s="8">
        <f>IF(L24=7,K37,L38)</f>
        <v>3.5391999999999997</v>
      </c>
    </row>
    <row r="38" spans="1:12" ht="30" customHeight="1" thickBot="1">
      <c r="A38" s="103"/>
      <c r="B38" s="150"/>
      <c r="C38" s="19" t="str">
        <f>I40</f>
        <v>0023375</v>
      </c>
      <c r="D38" s="19" t="str">
        <f>I41</f>
        <v/>
      </c>
      <c r="E38" s="44" t="str">
        <f>J40</f>
        <v>0023376</v>
      </c>
      <c r="F38" s="153" t="str">
        <f>J41</f>
        <v/>
      </c>
      <c r="G38" s="154"/>
      <c r="I38" s="1" t="s">
        <v>56</v>
      </c>
      <c r="J38" s="8">
        <v>15</v>
      </c>
      <c r="K38" s="8">
        <f>B33*C33/1000000*J38</f>
        <v>4.74</v>
      </c>
      <c r="L38" s="8">
        <f>IF(L24=8,K38,L39)</f>
        <v>3.5391999999999997</v>
      </c>
    </row>
    <row r="39" spans="1:12" ht="61.75" customHeight="1">
      <c r="A39" s="89"/>
      <c r="B39" s="92" t="s">
        <v>97</v>
      </c>
      <c r="C39" s="93"/>
      <c r="D39" s="93"/>
      <c r="E39" s="93"/>
      <c r="F39" s="93"/>
      <c r="G39" s="94"/>
      <c r="I39" s="1" t="s">
        <v>57</v>
      </c>
      <c r="J39" s="8">
        <v>11.2</v>
      </c>
      <c r="K39" s="8">
        <f>B33*C33/1000000*J39</f>
        <v>3.5391999999999997</v>
      </c>
      <c r="L39" s="8">
        <f>IF(L24=9,K39,L40)</f>
        <v>3.5391999999999997</v>
      </c>
    </row>
    <row r="40" spans="1:12" ht="27" customHeight="1">
      <c r="A40" s="90"/>
      <c r="B40" s="43" t="s">
        <v>96</v>
      </c>
      <c r="C40" s="132" t="s">
        <v>83</v>
      </c>
      <c r="D40" s="133"/>
      <c r="E40" s="132" t="s">
        <v>65</v>
      </c>
      <c r="F40" s="144"/>
      <c r="G40" s="145"/>
      <c r="I40" s="13" t="str">
        <f>IF(B33&gt;600,"слишком высокий фасад",IF(B33&lt;250,"слишком низкий фасад",IF(E36&lt;200,"слишком легкий фасад",IF(E36&lt;500,"00023371",IF(E36&lt;960,"0023373",IF(E36&lt;=2050,"0023375",""))))))</f>
        <v>0023375</v>
      </c>
      <c r="J40" s="13" t="str">
        <f>IF(B33&gt;600,"слишком высокий фасад",IF(B33&lt;250,"слишком низкий фасад",IF(E36&lt;200,"слишком легкий фасад",IF(E36&lt;500,"0023372",IF(E36&lt;960,"0023374",IF(E36&lt;=2050,"0023376",""))))))</f>
        <v>0023376</v>
      </c>
    </row>
    <row r="41" spans="1:12" ht="15.65" customHeight="1">
      <c r="A41" s="90"/>
      <c r="B41" s="10" t="s">
        <v>182</v>
      </c>
      <c r="C41" s="134" t="s">
        <v>7</v>
      </c>
      <c r="D41" s="135"/>
      <c r="E41" s="141">
        <v>600</v>
      </c>
      <c r="F41" s="142"/>
      <c r="G41" s="143"/>
      <c r="I41" s="13" t="str">
        <f>IF(B33&gt;600,"слишком высокий фасад",IF(B33&lt;250,"слишком низкий фасад",IF(E36&gt;4700,"слишком большой фасад",IF(E36&gt;2050,"2 комплекта 0023375",""))))</f>
        <v/>
      </c>
      <c r="J41" s="13" t="str">
        <f>IF(B33&gt;600,"слишком высокий фасад",IF(B33&lt;250,"слишком низкий фасад",IF(E36&gt;4700,"слишком большой фасад",IF(E36&gt;2050,"2 комплекта 0023376",""))))</f>
        <v/>
      </c>
    </row>
    <row r="42" spans="1:12" ht="15.65" customHeight="1">
      <c r="A42" s="90"/>
      <c r="B42" s="10" t="s">
        <v>183</v>
      </c>
      <c r="C42" s="134" t="s">
        <v>35</v>
      </c>
      <c r="D42" s="135"/>
      <c r="E42" s="141">
        <v>950</v>
      </c>
      <c r="F42" s="142"/>
      <c r="G42" s="143"/>
    </row>
    <row r="43" spans="1:12" ht="15.65" customHeight="1" thickBot="1">
      <c r="A43" s="91"/>
      <c r="B43" s="10" t="s">
        <v>184</v>
      </c>
      <c r="C43" s="136" t="s">
        <v>36</v>
      </c>
      <c r="D43" s="137"/>
      <c r="E43" s="138">
        <v>1505</v>
      </c>
      <c r="F43" s="139"/>
      <c r="G43" s="140"/>
    </row>
    <row r="44" spans="1:12" ht="15" customHeight="1">
      <c r="A44" s="75" t="s">
        <v>67</v>
      </c>
      <c r="B44" s="76"/>
      <c r="C44" s="76"/>
      <c r="D44" s="76"/>
      <c r="E44" s="76"/>
      <c r="F44" s="76"/>
      <c r="G44" s="77"/>
    </row>
    <row r="45" spans="1:12" ht="15" customHeight="1" thickBot="1">
      <c r="A45" s="78"/>
      <c r="B45" s="79"/>
      <c r="C45" s="79"/>
      <c r="D45" s="79"/>
      <c r="E45" s="79"/>
      <c r="F45" s="79"/>
      <c r="G45" s="80"/>
    </row>
  </sheetData>
  <sheetProtection algorithmName="SHA-512" hashValue="1HYTjLVQoszyzPQcSMVakr54xs4suewzsjxKBW9H0UPOLieTcLfdwHK5zrWBkE9Y3Sw6RVKkaAAvph9/6WYW+Q==" saltValue="uYpPLIHhOyj2POL01/76fw==" spinCount="100000" sheet="1" objects="1" scenarios="1"/>
  <mergeCells count="58">
    <mergeCell ref="A21:G22"/>
    <mergeCell ref="A16:A20"/>
    <mergeCell ref="B16:G16"/>
    <mergeCell ref="F14:G14"/>
    <mergeCell ref="F15:G15"/>
    <mergeCell ref="A1:G7"/>
    <mergeCell ref="J1:K1"/>
    <mergeCell ref="A8:A10"/>
    <mergeCell ref="B8:G8"/>
    <mergeCell ref="C10:D10"/>
    <mergeCell ref="C9:D9"/>
    <mergeCell ref="E9:E10"/>
    <mergeCell ref="F9:G9"/>
    <mergeCell ref="F10:G10"/>
    <mergeCell ref="B11:G11"/>
    <mergeCell ref="B12:B13"/>
    <mergeCell ref="A11:A15"/>
    <mergeCell ref="C12:D12"/>
    <mergeCell ref="C13:D13"/>
    <mergeCell ref="E12:G12"/>
    <mergeCell ref="E13:G13"/>
    <mergeCell ref="B14:B15"/>
    <mergeCell ref="A24:G30"/>
    <mergeCell ref="J24:K24"/>
    <mergeCell ref="A31:A33"/>
    <mergeCell ref="B31:G31"/>
    <mergeCell ref="C32:D32"/>
    <mergeCell ref="C33:D33"/>
    <mergeCell ref="E32:G33"/>
    <mergeCell ref="E43:G43"/>
    <mergeCell ref="C41:D41"/>
    <mergeCell ref="C42:D42"/>
    <mergeCell ref="C43:D43"/>
    <mergeCell ref="A34:A38"/>
    <mergeCell ref="B34:G34"/>
    <mergeCell ref="B35:B36"/>
    <mergeCell ref="B37:B38"/>
    <mergeCell ref="F37:G37"/>
    <mergeCell ref="F38:G38"/>
    <mergeCell ref="E36:G36"/>
    <mergeCell ref="C35:D35"/>
    <mergeCell ref="C36:D36"/>
    <mergeCell ref="A44:G45"/>
    <mergeCell ref="C17:D17"/>
    <mergeCell ref="C18:D18"/>
    <mergeCell ref="C19:D19"/>
    <mergeCell ref="C20:D20"/>
    <mergeCell ref="E20:G20"/>
    <mergeCell ref="E19:G19"/>
    <mergeCell ref="E18:G18"/>
    <mergeCell ref="E17:G17"/>
    <mergeCell ref="C40:D40"/>
    <mergeCell ref="E40:G40"/>
    <mergeCell ref="E35:G35"/>
    <mergeCell ref="A39:A43"/>
    <mergeCell ref="B39:G39"/>
    <mergeCell ref="E41:G41"/>
    <mergeCell ref="E42:G42"/>
  </mergeCells>
  <phoneticPr fontId="16" type="noConversion"/>
  <hyperlinks>
    <hyperlink ref="A21" r:id="rId1"/>
    <hyperlink ref="A44" r:id="rId2"/>
  </hyperlinks>
  <pageMargins left="0.25" right="0.25" top="0.75" bottom="0.75" header="0.3" footer="0.3"/>
  <pageSetup paperSize="9" orientation="portrait" r:id="rId3"/>
  <drawing r:id="rId4"/>
  <legacyDrawing r:id="rId5"/>
  <oleObjects>
    <mc:AlternateContent xmlns:mc="http://schemas.openxmlformats.org/markup-compatibility/2006">
      <mc:Choice Requires="x14">
        <oleObject progId="CorelDraw.Graphic.18" shapeId="5129" r:id="rId6">
          <objectPr defaultSize="0" autoPict="0" r:id="rId7">
            <anchor moveWithCells="1">
              <from>
                <xdr:col>0</xdr:col>
                <xdr:colOff>133350</xdr:colOff>
                <xdr:row>0</xdr:row>
                <xdr:rowOff>88900</xdr:rowOff>
              </from>
              <to>
                <xdr:col>1</xdr:col>
                <xdr:colOff>1276350</xdr:colOff>
                <xdr:row>2</xdr:row>
                <xdr:rowOff>190500</xdr:rowOff>
              </to>
            </anchor>
          </objectPr>
        </oleObject>
      </mc:Choice>
      <mc:Fallback>
        <oleObject progId="CorelDraw.Graphic.18" shapeId="5129" r:id="rId6"/>
      </mc:Fallback>
    </mc:AlternateContent>
    <mc:AlternateContent xmlns:mc="http://schemas.openxmlformats.org/markup-compatibility/2006">
      <mc:Choice Requires="x14">
        <oleObject progId="CorelDraw.Graphic.18" shapeId="5134" r:id="rId8">
          <objectPr defaultSize="0" autoPict="0" r:id="rId7">
            <anchor moveWithCells="1">
              <from>
                <xdr:col>0</xdr:col>
                <xdr:colOff>133350</xdr:colOff>
                <xdr:row>23</xdr:row>
                <xdr:rowOff>88900</xdr:rowOff>
              </from>
              <to>
                <xdr:col>1</xdr:col>
                <xdr:colOff>1276350</xdr:colOff>
                <xdr:row>25</xdr:row>
                <xdr:rowOff>190500</xdr:rowOff>
              </to>
            </anchor>
          </objectPr>
        </oleObject>
      </mc:Choice>
      <mc:Fallback>
        <oleObject progId="CorelDraw.Graphic.18" shapeId="5134" r:id="rId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9" name="Drop Down 1">
              <controlPr defaultSize="0" autoLine="0" autoPict="0">
                <anchor>
                  <from>
                    <xdr:col>1</xdr:col>
                    <xdr:colOff>222250</xdr:colOff>
                    <xdr:row>11</xdr:row>
                    <xdr:rowOff>107950</xdr:rowOff>
                  </from>
                  <to>
                    <xdr:col>1</xdr:col>
                    <xdr:colOff>2393950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>
                  <from>
                    <xdr:col>1</xdr:col>
                    <xdr:colOff>241300</xdr:colOff>
                    <xdr:row>34</xdr:row>
                    <xdr:rowOff>95250</xdr:rowOff>
                  </from>
                  <to>
                    <xdr:col>1</xdr:col>
                    <xdr:colOff>2413000</xdr:colOff>
                    <xdr:row>35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7"/>
  <sheetViews>
    <sheetView zoomScale="85" zoomScaleNormal="85" workbookViewId="0">
      <selection activeCell="D13" sqref="D13:E13"/>
    </sheetView>
  </sheetViews>
  <sheetFormatPr defaultColWidth="9.1796875" defaultRowHeight="14.5"/>
  <cols>
    <col min="1" max="1" width="4.54296875" customWidth="1"/>
    <col min="2" max="2" width="37.54296875" customWidth="1"/>
    <col min="3" max="3" width="25.54296875" customWidth="1"/>
    <col min="4" max="4" width="7.54296875" customWidth="1"/>
    <col min="5" max="5" width="18.54296875" customWidth="1"/>
    <col min="6" max="7" width="25.54296875" customWidth="1"/>
    <col min="8" max="8" width="8.7265625" style="45" customWidth="1"/>
    <col min="9" max="9" width="18.453125" hidden="1" customWidth="1"/>
    <col min="10" max="10" width="13.81640625" hidden="1" customWidth="1"/>
    <col min="11" max="11" width="19.1796875" hidden="1" customWidth="1"/>
    <col min="12" max="12" width="16.7265625" hidden="1" customWidth="1"/>
    <col min="13" max="13" width="13.81640625" hidden="1" customWidth="1"/>
    <col min="14" max="14" width="13.81640625" customWidth="1"/>
    <col min="15" max="16" width="8.54296875" customWidth="1"/>
  </cols>
  <sheetData>
    <row r="1" spans="1:12" ht="20.149999999999999" customHeight="1">
      <c r="A1" s="127" t="s">
        <v>136</v>
      </c>
      <c r="B1" s="113"/>
      <c r="C1" s="113"/>
      <c r="D1" s="113"/>
      <c r="E1" s="113"/>
      <c r="F1" s="113"/>
      <c r="G1" s="114"/>
      <c r="J1" s="104" t="s">
        <v>137</v>
      </c>
      <c r="K1" s="104"/>
      <c r="L1" s="9">
        <v>4</v>
      </c>
    </row>
    <row r="2" spans="1:12" ht="20.149999999999999" customHeight="1">
      <c r="A2" s="115"/>
      <c r="B2" s="160"/>
      <c r="C2" s="160"/>
      <c r="D2" s="160"/>
      <c r="E2" s="160"/>
      <c r="F2" s="160"/>
      <c r="G2" s="117"/>
    </row>
    <row r="3" spans="1:12" ht="20.149999999999999" customHeight="1">
      <c r="A3" s="115"/>
      <c r="B3" s="160"/>
      <c r="C3" s="160"/>
      <c r="D3" s="160"/>
      <c r="E3" s="160"/>
      <c r="F3" s="160"/>
      <c r="G3" s="117"/>
    </row>
    <row r="4" spans="1:12" ht="20.149999999999999" customHeight="1">
      <c r="A4" s="115"/>
      <c r="B4" s="160"/>
      <c r="C4" s="160"/>
      <c r="D4" s="160"/>
      <c r="E4" s="160"/>
      <c r="F4" s="160"/>
      <c r="G4" s="117"/>
    </row>
    <row r="5" spans="1:12" ht="20.149999999999999" customHeight="1">
      <c r="A5" s="115"/>
      <c r="B5" s="160"/>
      <c r="C5" s="160"/>
      <c r="D5" s="160"/>
      <c r="E5" s="160"/>
      <c r="F5" s="160"/>
      <c r="G5" s="117"/>
    </row>
    <row r="6" spans="1:12" ht="20.149999999999999" customHeight="1">
      <c r="A6" s="115"/>
      <c r="B6" s="160"/>
      <c r="C6" s="160"/>
      <c r="D6" s="160"/>
      <c r="E6" s="160"/>
      <c r="F6" s="160"/>
      <c r="G6" s="117"/>
    </row>
    <row r="7" spans="1:12" ht="20.149999999999999" customHeight="1" thickBot="1">
      <c r="A7" s="115"/>
      <c r="B7" s="160"/>
      <c r="C7" s="160"/>
      <c r="D7" s="160"/>
      <c r="E7" s="160"/>
      <c r="F7" s="160"/>
      <c r="G7" s="117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185">
        <v>1</v>
      </c>
      <c r="B8" s="162" t="s">
        <v>58</v>
      </c>
      <c r="C8" s="162"/>
      <c r="D8" s="162"/>
      <c r="E8" s="162"/>
      <c r="F8" s="162"/>
      <c r="G8" s="163"/>
      <c r="I8" s="1" t="s">
        <v>49</v>
      </c>
      <c r="J8" s="8">
        <v>10.9</v>
      </c>
      <c r="K8" s="8">
        <f>B10*C10/1000000*J8+E10/1000</f>
        <v>4.5164000000000009</v>
      </c>
      <c r="L8" s="9" t="s">
        <v>1</v>
      </c>
    </row>
    <row r="9" spans="1:12" ht="20.149999999999999" customHeight="1">
      <c r="A9" s="186"/>
      <c r="B9" s="26" t="s">
        <v>147</v>
      </c>
      <c r="C9" s="26" t="s">
        <v>60</v>
      </c>
      <c r="D9" s="170" t="s">
        <v>0</v>
      </c>
      <c r="E9" s="26" t="s">
        <v>61</v>
      </c>
      <c r="F9" s="181" t="s">
        <v>178</v>
      </c>
      <c r="G9" s="182"/>
      <c r="I9" s="1" t="s">
        <v>50</v>
      </c>
      <c r="J9" s="8">
        <v>12.2</v>
      </c>
      <c r="K9" s="8">
        <f>B10*C10/1000000*J9+E10/1000</f>
        <v>5.0312000000000001</v>
      </c>
      <c r="L9" s="8">
        <f>IF(L1=2,K9,L10)</f>
        <v>5.9420000000000002</v>
      </c>
    </row>
    <row r="10" spans="1:12" ht="30" customHeight="1" thickBot="1">
      <c r="A10" s="187"/>
      <c r="B10" s="40">
        <v>660</v>
      </c>
      <c r="C10" s="40">
        <v>600</v>
      </c>
      <c r="D10" s="188"/>
      <c r="E10" s="40">
        <v>200</v>
      </c>
      <c r="F10" s="183"/>
      <c r="G10" s="184"/>
      <c r="I10" s="1" t="s">
        <v>51</v>
      </c>
      <c r="J10" s="8">
        <v>12.1</v>
      </c>
      <c r="K10" s="8">
        <f>B10*C10/1000000*J10+E10/1000</f>
        <v>4.9916</v>
      </c>
      <c r="L10" s="8">
        <f>IF(L1=3,K10,L11)</f>
        <v>5.9420000000000002</v>
      </c>
    </row>
    <row r="11" spans="1:12" ht="40" customHeight="1">
      <c r="A11" s="185">
        <v>2</v>
      </c>
      <c r="B11" s="162" t="s">
        <v>132</v>
      </c>
      <c r="C11" s="162"/>
      <c r="D11" s="162"/>
      <c r="E11" s="162"/>
      <c r="F11" s="162"/>
      <c r="G11" s="163"/>
      <c r="I11" s="1" t="s">
        <v>52</v>
      </c>
      <c r="J11" s="8">
        <v>14.5</v>
      </c>
      <c r="K11" s="8">
        <f>B10*C10/1000000*J11+E10/1000</f>
        <v>5.9420000000000002</v>
      </c>
      <c r="L11" s="8">
        <f>IF(L1=4,K11,L12)</f>
        <v>5.9420000000000002</v>
      </c>
    </row>
    <row r="12" spans="1:12" ht="20.149999999999999" customHeight="1">
      <c r="A12" s="186"/>
      <c r="B12" s="189"/>
      <c r="C12" s="26" t="s">
        <v>62</v>
      </c>
      <c r="D12" s="85" t="s">
        <v>146</v>
      </c>
      <c r="E12" s="85"/>
      <c r="F12" s="85"/>
      <c r="G12" s="86"/>
      <c r="I12" s="1" t="s">
        <v>53</v>
      </c>
      <c r="J12" s="8">
        <v>16.5</v>
      </c>
      <c r="K12" s="8">
        <f>B10*C10/1000000*J12+E10/1000</f>
        <v>6.7340000000000009</v>
      </c>
      <c r="L12" s="8">
        <f>IF(L1=5,K12,L13)</f>
        <v>0</v>
      </c>
    </row>
    <row r="13" spans="1:12" ht="20.149999999999999" customHeight="1" thickBot="1">
      <c r="A13" s="187"/>
      <c r="B13" s="190"/>
      <c r="C13" s="49">
        <f>IF(L1=1,K8,L9)</f>
        <v>5.9420000000000002</v>
      </c>
      <c r="D13" s="191">
        <f>B10</f>
        <v>660</v>
      </c>
      <c r="E13" s="191"/>
      <c r="F13" s="179"/>
      <c r="G13" s="180"/>
      <c r="I13" s="1" t="s">
        <v>54</v>
      </c>
      <c r="J13" s="8">
        <v>11</v>
      </c>
      <c r="K13" s="8">
        <f>B10*C10/1000000*J13+E10/1000</f>
        <v>4.556</v>
      </c>
      <c r="L13" s="8">
        <f>IF(L1=6,K13,L14)</f>
        <v>0</v>
      </c>
    </row>
    <row r="14" spans="1:12" ht="60" customHeight="1">
      <c r="A14" s="185">
        <v>3</v>
      </c>
      <c r="B14" s="82" t="s">
        <v>134</v>
      </c>
      <c r="C14" s="82"/>
      <c r="D14" s="82"/>
      <c r="E14" s="82"/>
      <c r="F14" s="82"/>
      <c r="G14" s="83"/>
      <c r="H14" s="46"/>
      <c r="I14" s="1" t="s">
        <v>55</v>
      </c>
      <c r="J14" s="8">
        <v>12</v>
      </c>
      <c r="K14" s="8">
        <f>B10*C10/1000000*J14+E10/1000</f>
        <v>4.9520000000000008</v>
      </c>
      <c r="L14" s="8">
        <f>IF(L1=7,K14,L15)</f>
        <v>0</v>
      </c>
    </row>
    <row r="15" spans="1:12" ht="33" customHeight="1">
      <c r="A15" s="186"/>
      <c r="B15" s="50" t="s">
        <v>130</v>
      </c>
      <c r="C15" s="26" t="s">
        <v>62</v>
      </c>
      <c r="D15" s="85" t="s">
        <v>146</v>
      </c>
      <c r="E15" s="85"/>
      <c r="F15" s="69" t="s">
        <v>135</v>
      </c>
      <c r="G15" s="70" t="s">
        <v>139</v>
      </c>
      <c r="H15" s="47"/>
      <c r="I15" s="1" t="s">
        <v>56</v>
      </c>
      <c r="J15" s="8">
        <v>15</v>
      </c>
      <c r="K15" s="8">
        <f>B10*C10/1000000*J15+E10/1000</f>
        <v>6.1400000000000006</v>
      </c>
      <c r="L15" s="8">
        <f>IF(L1=8,K15,L16)</f>
        <v>0</v>
      </c>
    </row>
    <row r="16" spans="1:12" ht="15" customHeight="1">
      <c r="A16" s="186"/>
      <c r="B16" s="51" t="s">
        <v>119</v>
      </c>
      <c r="C16" s="22" t="s">
        <v>32</v>
      </c>
      <c r="D16" s="71" t="s">
        <v>9</v>
      </c>
      <c r="E16" s="71"/>
      <c r="F16" s="52" t="str">
        <f>I17</f>
        <v/>
      </c>
      <c r="G16" s="53" t="str">
        <f>J17</f>
        <v/>
      </c>
      <c r="H16" s="48"/>
      <c r="I16" s="1" t="s">
        <v>57</v>
      </c>
      <c r="J16" s="14">
        <v>11.2</v>
      </c>
      <c r="K16" s="8">
        <f>B10*C10/1000000*J16+E10/1000</f>
        <v>4.6352000000000002</v>
      </c>
      <c r="L16" s="8">
        <f>IF(L1=9,K16,L17)</f>
        <v>0</v>
      </c>
    </row>
    <row r="17" spans="1:12" ht="15" customHeight="1">
      <c r="A17" s="186"/>
      <c r="B17" s="51" t="s">
        <v>112</v>
      </c>
      <c r="C17" s="22" t="s">
        <v>15</v>
      </c>
      <c r="D17" s="71" t="s">
        <v>9</v>
      </c>
      <c r="E17" s="71"/>
      <c r="F17" s="52" t="str">
        <f t="shared" ref="F17:F33" si="0">I18</f>
        <v/>
      </c>
      <c r="G17" s="53" t="str">
        <f t="shared" ref="G17:G33" si="1">J18</f>
        <v/>
      </c>
      <c r="H17" s="48"/>
      <c r="I17" s="20" t="str">
        <f>IF(D13&lt;480,"слишком низкий фасад",IF(($C$13&gt;5)*($C$13&lt;9.6)*($D$13&gt;=480)*($D$13&lt;=529),"0016521",""))</f>
        <v/>
      </c>
      <c r="J17" s="21" t="str">
        <f>IF(D13&lt;480,"слишком низкий фасад",IF(($C$13&gt;5)*($C$13&lt;9.6)*($D$13&gt;=480)*($D$13&lt;=529),"0016503",""))</f>
        <v/>
      </c>
    </row>
    <row r="18" spans="1:12" ht="15" customHeight="1">
      <c r="A18" s="186"/>
      <c r="B18" s="51" t="s">
        <v>120</v>
      </c>
      <c r="C18" s="22" t="s">
        <v>10</v>
      </c>
      <c r="D18" s="71" t="s">
        <v>12</v>
      </c>
      <c r="E18" s="71"/>
      <c r="F18" s="52" t="str">
        <f t="shared" si="0"/>
        <v/>
      </c>
      <c r="G18" s="53" t="str">
        <f t="shared" si="1"/>
        <v/>
      </c>
      <c r="H18" s="48"/>
      <c r="I18" s="20" t="str">
        <f>IF(($C$13&gt;=9.6)*($C$13&lt;16)*($D$13&gt;=480)*($D$13&lt;=529),"0016522","")</f>
        <v/>
      </c>
      <c r="J18" s="21" t="str">
        <f>IF(($C$13&gt;=9.6)*($C$13&lt;16)*($D$13&gt;=480)*($D$13&lt;=529),"0016504","")</f>
        <v/>
      </c>
    </row>
    <row r="19" spans="1:12" ht="15" customHeight="1">
      <c r="A19" s="186"/>
      <c r="B19" s="51" t="s">
        <v>113</v>
      </c>
      <c r="C19" s="22" t="s">
        <v>11</v>
      </c>
      <c r="D19" s="71" t="s">
        <v>12</v>
      </c>
      <c r="E19" s="71"/>
      <c r="F19" s="52" t="str">
        <f t="shared" si="0"/>
        <v/>
      </c>
      <c r="G19" s="53" t="str">
        <f t="shared" si="1"/>
        <v/>
      </c>
      <c r="H19" s="48"/>
      <c r="I19" s="20" t="str">
        <f>IF(($C$13&gt;4.5)*($C$13&lt;8.7)*($D$13&gt;=530)*($D$13&lt;=589),"0016523","")</f>
        <v/>
      </c>
      <c r="J19" s="21" t="str">
        <f>IF(($C$13&gt;4.5)*($C$13&lt;8.7)*($D$13&gt;=530)*($D$13&lt;=589),"0016505","")</f>
        <v/>
      </c>
      <c r="K19" s="12"/>
      <c r="L19" s="12"/>
    </row>
    <row r="20" spans="1:12" ht="15" customHeight="1">
      <c r="A20" s="186"/>
      <c r="B20" s="51" t="s">
        <v>121</v>
      </c>
      <c r="C20" s="22" t="s">
        <v>14</v>
      </c>
      <c r="D20" s="71" t="s">
        <v>13</v>
      </c>
      <c r="E20" s="71"/>
      <c r="F20" s="52" t="str">
        <f t="shared" si="0"/>
        <v/>
      </c>
      <c r="G20" s="53" t="str">
        <f t="shared" si="1"/>
        <v/>
      </c>
      <c r="H20" s="48"/>
      <c r="I20" s="20" t="str">
        <f>IF(($C$13&gt;=8.7)*($C$13&lt;14.4)*($D$13&gt;=530)*($D$13&lt;=589),"0016524","")</f>
        <v/>
      </c>
      <c r="J20" s="21" t="str">
        <f>IF(($C$13&gt;=8.7)*($C$13&lt;14.4)*($D$13&gt;=530)*($D$13&lt;=589),"0016506","")</f>
        <v/>
      </c>
      <c r="K20" s="12"/>
      <c r="L20" s="12"/>
    </row>
    <row r="21" spans="1:12" ht="15" customHeight="1">
      <c r="A21" s="186"/>
      <c r="B21" s="51" t="s">
        <v>114</v>
      </c>
      <c r="C21" s="22" t="s">
        <v>16</v>
      </c>
      <c r="D21" s="71" t="s">
        <v>13</v>
      </c>
      <c r="E21" s="71"/>
      <c r="F21" s="52" t="str">
        <f t="shared" si="0"/>
        <v/>
      </c>
      <c r="G21" s="53" t="str">
        <f t="shared" si="1"/>
        <v/>
      </c>
      <c r="H21" s="48"/>
      <c r="I21" s="20" t="str">
        <f>IF(($C$13&gt;4.1)*($C$13&lt;7.8)*($D$13&gt;=590)*($D$13&lt;=649),"0016525","")</f>
        <v/>
      </c>
      <c r="J21" s="21" t="str">
        <f>IF(($C$13&gt;4.1)*($C$13&lt;7.8)*($D$13&gt;=590)*($D$13&lt;=649),"0016507","")</f>
        <v/>
      </c>
      <c r="K21" s="12"/>
      <c r="L21" s="12"/>
    </row>
    <row r="22" spans="1:12" ht="15" customHeight="1">
      <c r="A22" s="186"/>
      <c r="B22" s="51" t="s">
        <v>122</v>
      </c>
      <c r="C22" s="22" t="s">
        <v>17</v>
      </c>
      <c r="D22" s="71" t="s">
        <v>24</v>
      </c>
      <c r="E22" s="71"/>
      <c r="F22" s="52" t="str">
        <f t="shared" si="0"/>
        <v>0016527</v>
      </c>
      <c r="G22" s="53" t="str">
        <f t="shared" si="1"/>
        <v>0016509</v>
      </c>
      <c r="H22" s="48"/>
      <c r="I22" s="20" t="str">
        <f>IF(($C$13&gt;=7.8)*($C$13&lt;13)*($D$13&gt;=590)*($D$13&lt;=649),"0016526","")</f>
        <v/>
      </c>
      <c r="J22" s="21" t="str">
        <f>IF(($C$13&gt;=7.8)*($C$13&lt;13)*($D$13&gt;=590)*($D$13&lt;=649),"0016508","")</f>
        <v/>
      </c>
      <c r="K22" s="12"/>
      <c r="L22" s="12"/>
    </row>
    <row r="23" spans="1:12" ht="15" customHeight="1">
      <c r="A23" s="186"/>
      <c r="B23" s="51" t="s">
        <v>115</v>
      </c>
      <c r="C23" s="22" t="s">
        <v>18</v>
      </c>
      <c r="D23" s="71" t="s">
        <v>24</v>
      </c>
      <c r="E23" s="71"/>
      <c r="F23" s="52" t="str">
        <f t="shared" si="0"/>
        <v/>
      </c>
      <c r="G23" s="53" t="str">
        <f t="shared" si="1"/>
        <v/>
      </c>
      <c r="H23" s="48"/>
      <c r="I23" s="20" t="str">
        <f>IF(($C$13&gt;3.7)*($C$13&lt;7)*($D$13&gt;=650)*($D$13&lt;=729),"0016527","")</f>
        <v>0016527</v>
      </c>
      <c r="J23" s="21" t="str">
        <f>IF(($C$13&gt;3.7)*($C$13&lt;7)*($D$13&gt;=650)*($D$13&lt;=729),"0016509","")</f>
        <v>0016509</v>
      </c>
      <c r="K23" s="12"/>
      <c r="L23" s="12"/>
    </row>
    <row r="24" spans="1:12" ht="15" customHeight="1">
      <c r="A24" s="186"/>
      <c r="B24" s="51" t="s">
        <v>123</v>
      </c>
      <c r="C24" s="22" t="s">
        <v>19</v>
      </c>
      <c r="D24" s="71" t="s">
        <v>24</v>
      </c>
      <c r="E24" s="71"/>
      <c r="F24" s="52" t="str">
        <f t="shared" si="0"/>
        <v/>
      </c>
      <c r="G24" s="53" t="str">
        <f t="shared" si="1"/>
        <v/>
      </c>
      <c r="H24" s="48"/>
      <c r="I24" s="20" t="str">
        <f>IF(($C$13&gt;=7)*($C$13&lt;11.5)*($D$13&gt;=650)*($D$13&lt;=729),"0016528","")</f>
        <v/>
      </c>
      <c r="J24" s="21" t="str">
        <f>IF(($C$13&gt;=7)*($C$13&lt;11.5)*($D$13&gt;=650)*($D$13&lt;=729),"0016510","")</f>
        <v/>
      </c>
      <c r="K24" s="12"/>
      <c r="L24" s="12"/>
    </row>
    <row r="25" spans="1:12" ht="15" customHeight="1">
      <c r="A25" s="186"/>
      <c r="B25" s="51" t="s">
        <v>124</v>
      </c>
      <c r="C25" s="22" t="s">
        <v>20</v>
      </c>
      <c r="D25" s="71" t="s">
        <v>25</v>
      </c>
      <c r="E25" s="71"/>
      <c r="F25" s="52" t="str">
        <f t="shared" si="0"/>
        <v/>
      </c>
      <c r="G25" s="53" t="str">
        <f t="shared" si="1"/>
        <v/>
      </c>
      <c r="H25" s="48"/>
      <c r="I25" s="20" t="str">
        <f>IF(($C$13&gt;=11.5)*($C$13&lt;19.8)*($D$13&gt;=650)*($D$13&lt;=729),"0016529","")</f>
        <v/>
      </c>
      <c r="J25" s="21" t="str">
        <f>IF(($C$13&gt;=11.5)*($C$13&lt;19.8)*($D$13&gt;=650)*($D$13&lt;=729),"0016511","")</f>
        <v/>
      </c>
      <c r="K25" s="12"/>
      <c r="L25" s="12"/>
    </row>
    <row r="26" spans="1:12" ht="15" customHeight="1">
      <c r="A26" s="186"/>
      <c r="B26" s="51" t="s">
        <v>116</v>
      </c>
      <c r="C26" s="22" t="s">
        <v>21</v>
      </c>
      <c r="D26" s="71" t="s">
        <v>25</v>
      </c>
      <c r="E26" s="71"/>
      <c r="F26" s="52" t="str">
        <f t="shared" si="0"/>
        <v/>
      </c>
      <c r="G26" s="53" t="str">
        <f t="shared" si="1"/>
        <v/>
      </c>
      <c r="H26" s="48"/>
      <c r="I26" s="20" t="str">
        <f>IF(($C$13&gt;3.2)*($C$13&lt;6.3)*($D$13&gt;=730)*($D$13&lt;=799),"0016530","")</f>
        <v/>
      </c>
      <c r="J26" s="21" t="str">
        <f>IF(($C$13&gt;3.2)*($C$13&lt;6.3)*($D$13&gt;=730)*($D$13&lt;=799),"0016512","")</f>
        <v/>
      </c>
      <c r="K26" s="12"/>
      <c r="L26" s="12"/>
    </row>
    <row r="27" spans="1:12" ht="15" customHeight="1">
      <c r="A27" s="186"/>
      <c r="B27" s="51" t="s">
        <v>125</v>
      </c>
      <c r="C27" s="22" t="s">
        <v>22</v>
      </c>
      <c r="D27" s="71" t="s">
        <v>25</v>
      </c>
      <c r="E27" s="71"/>
      <c r="F27" s="52" t="str">
        <f t="shared" si="0"/>
        <v/>
      </c>
      <c r="G27" s="53" t="str">
        <f t="shared" si="1"/>
        <v/>
      </c>
      <c r="H27" s="48"/>
      <c r="I27" s="20" t="str">
        <f>IF(($C$13&gt;=6.3)*($C$13&lt;10.5)*($D$13&gt;=730)*($D$13&lt;=799),"0016531","")</f>
        <v/>
      </c>
      <c r="J27" s="21" t="str">
        <f>IF(($C$13&gt;=6.3)*($C$13&lt;10.5)*($D$13&gt;=730)*($D$13&lt;=799),"0016513","")</f>
        <v/>
      </c>
    </row>
    <row r="28" spans="1:12" ht="15" customHeight="1">
      <c r="A28" s="186"/>
      <c r="B28" s="51" t="s">
        <v>117</v>
      </c>
      <c r="C28" s="22" t="s">
        <v>33</v>
      </c>
      <c r="D28" s="71" t="s">
        <v>26</v>
      </c>
      <c r="E28" s="71"/>
      <c r="F28" s="52" t="str">
        <f t="shared" si="0"/>
        <v/>
      </c>
      <c r="G28" s="53" t="str">
        <f t="shared" si="1"/>
        <v/>
      </c>
      <c r="H28" s="48"/>
      <c r="I28" s="20" t="str">
        <f>IF(($C$13&gt;=10.5)*($C$13&lt;18.1)*($D$13&gt;=730)*($D$13&lt;=799),"0016532","")</f>
        <v/>
      </c>
      <c r="J28" s="21" t="str">
        <f>IF(($C$13&gt;=10.5)*($C$13&lt;18.1)*($D$13&gt;=730)*($D$13&lt;=799),"0016514","")</f>
        <v/>
      </c>
    </row>
    <row r="29" spans="1:12" ht="15" customHeight="1">
      <c r="A29" s="186"/>
      <c r="B29" s="51" t="s">
        <v>126</v>
      </c>
      <c r="C29" s="22" t="s">
        <v>23</v>
      </c>
      <c r="D29" s="71" t="s">
        <v>26</v>
      </c>
      <c r="E29" s="71"/>
      <c r="F29" s="52" t="str">
        <f t="shared" si="0"/>
        <v/>
      </c>
      <c r="G29" s="53" t="str">
        <f t="shared" si="1"/>
        <v/>
      </c>
      <c r="H29" s="48"/>
      <c r="I29" s="20" t="str">
        <f>IF(($C$13&gt;5.8)*($C$13&lt;9.5)*($D$13&gt;=800)*($D$13&lt;=879),"0016533","")</f>
        <v/>
      </c>
      <c r="J29" s="21" t="str">
        <f>IF(($C$13&gt;5.8)*($C$13&lt;9.5)*($D$13&gt;=800)*($D$13&lt;=879),"0016515","")</f>
        <v/>
      </c>
    </row>
    <row r="30" spans="1:12" ht="15" customHeight="1">
      <c r="A30" s="186"/>
      <c r="B30" s="51" t="s">
        <v>118</v>
      </c>
      <c r="C30" s="22" t="s">
        <v>27</v>
      </c>
      <c r="D30" s="71" t="s">
        <v>29</v>
      </c>
      <c r="E30" s="71"/>
      <c r="F30" s="52" t="str">
        <f t="shared" si="0"/>
        <v/>
      </c>
      <c r="G30" s="53" t="str">
        <f t="shared" si="1"/>
        <v/>
      </c>
      <c r="H30" s="48"/>
      <c r="I30" s="20" t="str">
        <f>IF(($C$13&gt;=9.5)*($C$13&lt;16.5)*($D$13&gt;=800)*($D$13&lt;=879),"0016534","")</f>
        <v/>
      </c>
      <c r="J30" s="21" t="str">
        <f>IF(($C$13&gt;=9.5)*($C$13&lt;16.5)*($D$13&gt;=800)*($D$13&lt;=879),"0016516","")</f>
        <v/>
      </c>
    </row>
    <row r="31" spans="1:12" ht="15" customHeight="1">
      <c r="A31" s="186"/>
      <c r="B31" s="51" t="s">
        <v>127</v>
      </c>
      <c r="C31" s="22" t="s">
        <v>28</v>
      </c>
      <c r="D31" s="71" t="s">
        <v>29</v>
      </c>
      <c r="E31" s="71"/>
      <c r="F31" s="52" t="str">
        <f t="shared" si="0"/>
        <v/>
      </c>
      <c r="G31" s="53" t="str">
        <f t="shared" si="1"/>
        <v/>
      </c>
      <c r="H31" s="48"/>
      <c r="I31" s="20" t="str">
        <f>IF(($C$13&gt;5.2)*($C$13&lt;8.7)*($D$13&gt;=880)*($D$13&lt;=959),"0016535","")</f>
        <v/>
      </c>
      <c r="J31" s="21" t="str">
        <f>IF(($C$13&gt;5.2)*($C$13&lt;8.7)*($D$13&gt;=880)*($D$13&lt;=959),"0016517","")</f>
        <v/>
      </c>
    </row>
    <row r="32" spans="1:12" ht="15" customHeight="1">
      <c r="A32" s="186"/>
      <c r="B32" s="51" t="s">
        <v>128</v>
      </c>
      <c r="C32" s="22" t="s">
        <v>34</v>
      </c>
      <c r="D32" s="71" t="s">
        <v>31</v>
      </c>
      <c r="E32" s="71"/>
      <c r="F32" s="52" t="str">
        <f t="shared" si="0"/>
        <v/>
      </c>
      <c r="G32" s="53" t="str">
        <f t="shared" si="1"/>
        <v/>
      </c>
      <c r="H32" s="48"/>
      <c r="I32" s="20" t="str">
        <f>IF(($C$13&gt;=8.7)*($C$13&lt;15.1)*($D$13&gt;=880)*($D$13&lt;=959),"0016536","")</f>
        <v/>
      </c>
      <c r="J32" s="21" t="str">
        <f>IF(($C$13&gt;=8.7)*($C$13&lt;15.1)*($D$13&gt;=880)*($D$13&lt;=959),"0016518","")</f>
        <v/>
      </c>
    </row>
    <row r="33" spans="1:10" ht="15" customHeight="1" thickBot="1">
      <c r="A33" s="192"/>
      <c r="B33" s="54" t="s">
        <v>129</v>
      </c>
      <c r="C33" s="23" t="s">
        <v>30</v>
      </c>
      <c r="D33" s="73" t="s">
        <v>31</v>
      </c>
      <c r="E33" s="73"/>
      <c r="F33" s="55" t="str">
        <f t="shared" si="0"/>
        <v/>
      </c>
      <c r="G33" s="56" t="str">
        <f t="shared" si="1"/>
        <v/>
      </c>
      <c r="H33" s="48"/>
      <c r="I33" s="20" t="str">
        <f>IF(($C$13&gt;4.8)*($C$13&lt;8)*($D$13&gt;=960)*($D$13&lt;=1040),"0016537","")</f>
        <v/>
      </c>
      <c r="J33" s="21" t="str">
        <f>IF(($C$13&gt;4.8)*($C$13&lt;8)*($D$13&gt;=960)*($D$13&lt;=1040),"0016519","")</f>
        <v/>
      </c>
    </row>
    <row r="34" spans="1:10" ht="15" customHeight="1">
      <c r="A34" s="173" t="s">
        <v>67</v>
      </c>
      <c r="B34" s="174"/>
      <c r="C34" s="174"/>
      <c r="D34" s="174"/>
      <c r="E34" s="174"/>
      <c r="F34" s="174"/>
      <c r="G34" s="175"/>
      <c r="I34" s="20" t="str">
        <f>IF(D13&gt;1040,"слишком высокий фасад",IF(($C$13&gt;=8)*($C$13&lt;13.9)*($D$13&gt;=960)*($D$13&lt;=1040),"0016538",""))</f>
        <v/>
      </c>
      <c r="J34" s="21" t="str">
        <f>IF(D13&gt;1040,"слишком высокий фасад",IF(($C$13&gt;=8)*($C$13&lt;13.9)*($D$13&gt;=960)*($D$13&lt;=1040),"0016520",""))</f>
        <v/>
      </c>
    </row>
    <row r="35" spans="1:10" ht="15" customHeight="1" thickBot="1">
      <c r="A35" s="176"/>
      <c r="B35" s="177"/>
      <c r="C35" s="177"/>
      <c r="D35" s="177"/>
      <c r="E35" s="177"/>
      <c r="F35" s="177"/>
      <c r="G35" s="178"/>
      <c r="J35" s="12"/>
    </row>
    <row r="36" spans="1:10">
      <c r="J36" s="12"/>
    </row>
    <row r="37" spans="1:10">
      <c r="J37" s="12"/>
    </row>
  </sheetData>
  <sheetProtection algorithmName="SHA-512" hashValue="bD+3vAwsvfQSkLwYbvn3cXS+lZ8zBp2FSfL2aSQoIb02B9zSrDc8kMMeDOn0aA56X5zI7ZA1snsFGxsK+HOdPQ==" saltValue="8RcZW87x13+uL5R0lEEK8Q==" spinCount="100000" sheet="1" objects="1" scenarios="1"/>
  <mergeCells count="34">
    <mergeCell ref="D23:E23"/>
    <mergeCell ref="D24:E24"/>
    <mergeCell ref="D25:E25"/>
    <mergeCell ref="A14:A33"/>
    <mergeCell ref="D15:E15"/>
    <mergeCell ref="D30:E30"/>
    <mergeCell ref="D18:E18"/>
    <mergeCell ref="D19:E19"/>
    <mergeCell ref="D20:E20"/>
    <mergeCell ref="D21:E21"/>
    <mergeCell ref="D22:E22"/>
    <mergeCell ref="J1:K1"/>
    <mergeCell ref="A8:A10"/>
    <mergeCell ref="D9:D10"/>
    <mergeCell ref="A11:A13"/>
    <mergeCell ref="B12:B13"/>
    <mergeCell ref="D12:E12"/>
    <mergeCell ref="D13:E13"/>
    <mergeCell ref="A34:G35"/>
    <mergeCell ref="B14:G14"/>
    <mergeCell ref="A1:G7"/>
    <mergeCell ref="B8:G8"/>
    <mergeCell ref="B11:G11"/>
    <mergeCell ref="F12:G13"/>
    <mergeCell ref="F9:G10"/>
    <mergeCell ref="D33:E33"/>
    <mergeCell ref="D31:E31"/>
    <mergeCell ref="D26:E26"/>
    <mergeCell ref="D27:E27"/>
    <mergeCell ref="D28:E28"/>
    <mergeCell ref="D16:E16"/>
    <mergeCell ref="D29:E29"/>
    <mergeCell ref="D32:E32"/>
    <mergeCell ref="D17:E17"/>
  </mergeCells>
  <phoneticPr fontId="16" type="noConversion"/>
  <hyperlinks>
    <hyperlink ref="A34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6147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95250</xdr:rowOff>
              </from>
              <to>
                <xdr:col>1</xdr:col>
                <xdr:colOff>1276350</xdr:colOff>
                <xdr:row>2</xdr:row>
                <xdr:rowOff>184150</xdr:rowOff>
              </to>
            </anchor>
          </objectPr>
        </oleObject>
      </mc:Choice>
      <mc:Fallback>
        <oleObject progId="CorelDraw.Graphic.18" shapeId="6147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7" name="Drop Down 1">
              <controlPr defaultSize="0" autoLine="0" autoPict="0">
                <anchor>
                  <from>
                    <xdr:col>1</xdr:col>
                    <xdr:colOff>209550</xdr:colOff>
                    <xdr:row>11</xdr:row>
                    <xdr:rowOff>88900</xdr:rowOff>
                  </from>
                  <to>
                    <xdr:col>1</xdr:col>
                    <xdr:colOff>2393950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1"/>
  <sheetViews>
    <sheetView tabSelected="1" topLeftCell="A13" zoomScaleNormal="100" workbookViewId="0">
      <selection activeCell="A38" sqref="A38:G39"/>
    </sheetView>
  </sheetViews>
  <sheetFormatPr defaultColWidth="9.1796875" defaultRowHeight="14.5"/>
  <cols>
    <col min="1" max="1" width="4.54296875" customWidth="1"/>
    <col min="2" max="2" width="37.54296875" customWidth="1"/>
    <col min="3" max="3" width="25.54296875" customWidth="1"/>
    <col min="4" max="4" width="7.54296875" customWidth="1"/>
    <col min="5" max="5" width="18.54296875" customWidth="1"/>
    <col min="6" max="7" width="25.54296875" customWidth="1"/>
    <col min="8" max="8" width="9" style="45" customWidth="1"/>
    <col min="9" max="9" width="18.453125" hidden="1" customWidth="1"/>
    <col min="10" max="10" width="13.81640625" hidden="1" customWidth="1"/>
    <col min="11" max="11" width="19.1796875" hidden="1" customWidth="1"/>
    <col min="12" max="12" width="16.7265625" hidden="1" customWidth="1"/>
    <col min="13" max="13" width="13.81640625" hidden="1" customWidth="1"/>
    <col min="14" max="14" width="13.81640625" customWidth="1"/>
    <col min="15" max="16" width="8.54296875" customWidth="1"/>
  </cols>
  <sheetData>
    <row r="1" spans="1:12" ht="20.149999999999999" customHeight="1">
      <c r="A1" s="127" t="s">
        <v>140</v>
      </c>
      <c r="B1" s="113"/>
      <c r="C1" s="113"/>
      <c r="D1" s="113"/>
      <c r="E1" s="113"/>
      <c r="F1" s="113"/>
      <c r="G1" s="114"/>
      <c r="J1" s="104" t="s">
        <v>137</v>
      </c>
      <c r="K1" s="104"/>
      <c r="L1" s="9">
        <v>4</v>
      </c>
    </row>
    <row r="2" spans="1:12" ht="20.149999999999999" customHeight="1">
      <c r="A2" s="115"/>
      <c r="B2" s="160"/>
      <c r="C2" s="160"/>
      <c r="D2" s="160"/>
      <c r="E2" s="160"/>
      <c r="F2" s="160"/>
      <c r="G2" s="117"/>
    </row>
    <row r="3" spans="1:12" ht="20.149999999999999" customHeight="1">
      <c r="A3" s="115"/>
      <c r="B3" s="160"/>
      <c r="C3" s="160"/>
      <c r="D3" s="160"/>
      <c r="E3" s="160"/>
      <c r="F3" s="160"/>
      <c r="G3" s="117"/>
    </row>
    <row r="4" spans="1:12" ht="20.149999999999999" customHeight="1">
      <c r="A4" s="115"/>
      <c r="B4" s="160"/>
      <c r="C4" s="160"/>
      <c r="D4" s="160"/>
      <c r="E4" s="160"/>
      <c r="F4" s="160"/>
      <c r="G4" s="117"/>
    </row>
    <row r="5" spans="1:12" ht="20.149999999999999" customHeight="1">
      <c r="A5" s="115"/>
      <c r="B5" s="160"/>
      <c r="C5" s="160"/>
      <c r="D5" s="160"/>
      <c r="E5" s="160"/>
      <c r="F5" s="160"/>
      <c r="G5" s="117"/>
    </row>
    <row r="6" spans="1:12" ht="20.149999999999999" customHeight="1">
      <c r="A6" s="115"/>
      <c r="B6" s="160"/>
      <c r="C6" s="160"/>
      <c r="D6" s="160"/>
      <c r="E6" s="160"/>
      <c r="F6" s="160"/>
      <c r="G6" s="117"/>
    </row>
    <row r="7" spans="1:12" ht="20.149999999999999" customHeight="1" thickBot="1">
      <c r="A7" s="115"/>
      <c r="B7" s="160"/>
      <c r="C7" s="160"/>
      <c r="D7" s="160"/>
      <c r="E7" s="160"/>
      <c r="F7" s="160"/>
      <c r="G7" s="117"/>
      <c r="I7" s="1" t="s">
        <v>71</v>
      </c>
      <c r="J7" s="1" t="s">
        <v>72</v>
      </c>
      <c r="K7" s="1" t="s">
        <v>73</v>
      </c>
      <c r="L7" s="1" t="s">
        <v>74</v>
      </c>
    </row>
    <row r="8" spans="1:12" ht="30" customHeight="1">
      <c r="A8" s="185">
        <v>1</v>
      </c>
      <c r="B8" s="162" t="s">
        <v>58</v>
      </c>
      <c r="C8" s="162"/>
      <c r="D8" s="162"/>
      <c r="E8" s="162"/>
      <c r="F8" s="162"/>
      <c r="G8" s="163"/>
      <c r="I8" s="1" t="s">
        <v>49</v>
      </c>
      <c r="J8" s="8">
        <v>10.9</v>
      </c>
      <c r="K8" s="8">
        <f>B10*C10/1000000*J8+E10/1000</f>
        <v>3.6880000000000002</v>
      </c>
      <c r="L8" s="9" t="s">
        <v>1</v>
      </c>
    </row>
    <row r="9" spans="1:12" ht="20.149999999999999" customHeight="1">
      <c r="A9" s="186"/>
      <c r="B9" s="35" t="s">
        <v>148</v>
      </c>
      <c r="C9" s="35" t="s">
        <v>60</v>
      </c>
      <c r="D9" s="170" t="s">
        <v>0</v>
      </c>
      <c r="E9" s="35" t="s">
        <v>61</v>
      </c>
      <c r="F9" s="181"/>
      <c r="G9" s="182"/>
      <c r="I9" s="1" t="s">
        <v>50</v>
      </c>
      <c r="J9" s="8">
        <v>12.2</v>
      </c>
      <c r="K9" s="8">
        <f>B10*C10/1000000*J9+E10/1000</f>
        <v>4.1040000000000001</v>
      </c>
      <c r="L9" s="8">
        <f>IF(L1=2,K9,L10)</f>
        <v>4.84</v>
      </c>
    </row>
    <row r="10" spans="1:12" ht="30" customHeight="1" thickBot="1">
      <c r="A10" s="187"/>
      <c r="B10" s="40">
        <v>400</v>
      </c>
      <c r="C10" s="40">
        <v>800</v>
      </c>
      <c r="D10" s="188"/>
      <c r="E10" s="40">
        <v>200</v>
      </c>
      <c r="F10" s="183"/>
      <c r="G10" s="184"/>
      <c r="I10" s="1" t="s">
        <v>51</v>
      </c>
      <c r="J10" s="8">
        <v>12.1</v>
      </c>
      <c r="K10" s="8">
        <f>B10*C10/1000000*J10+E10/1000</f>
        <v>4.0720000000000001</v>
      </c>
      <c r="L10" s="8">
        <f>IF(L1=3,K10,L11)</f>
        <v>4.84</v>
      </c>
    </row>
    <row r="11" spans="1:12" ht="40" customHeight="1">
      <c r="A11" s="185">
        <v>2</v>
      </c>
      <c r="B11" s="162" t="s">
        <v>132</v>
      </c>
      <c r="C11" s="162"/>
      <c r="D11" s="162"/>
      <c r="E11" s="162"/>
      <c r="F11" s="162"/>
      <c r="G11" s="163"/>
      <c r="I11" s="1" t="s">
        <v>52</v>
      </c>
      <c r="J11" s="8">
        <v>14.5</v>
      </c>
      <c r="K11" s="8">
        <f>B10*C10/1000000*J11+E10/1000</f>
        <v>4.84</v>
      </c>
      <c r="L11" s="8">
        <f>IF(L1=4,K11,L12)</f>
        <v>4.84</v>
      </c>
    </row>
    <row r="12" spans="1:12" ht="20.149999999999999" customHeight="1">
      <c r="A12" s="186"/>
      <c r="B12" s="189"/>
      <c r="C12" s="35" t="s">
        <v>62</v>
      </c>
      <c r="D12" s="85" t="s">
        <v>133</v>
      </c>
      <c r="E12" s="85"/>
      <c r="F12" s="85"/>
      <c r="G12" s="86"/>
      <c r="I12" s="1" t="s">
        <v>53</v>
      </c>
      <c r="J12" s="8">
        <v>16.5</v>
      </c>
      <c r="K12" s="8">
        <f>B10*C10/1000000*J12+E10/1000</f>
        <v>5.48</v>
      </c>
      <c r="L12" s="8">
        <f>IF(L1=5,K12,L13)</f>
        <v>0</v>
      </c>
    </row>
    <row r="13" spans="1:12" ht="20.149999999999999" customHeight="1" thickBot="1">
      <c r="A13" s="187"/>
      <c r="B13" s="190"/>
      <c r="C13" s="49">
        <f>IF(L1=1,K8,L9)</f>
        <v>4.84</v>
      </c>
      <c r="D13" s="191">
        <f>B10</f>
        <v>400</v>
      </c>
      <c r="E13" s="191"/>
      <c r="F13" s="179"/>
      <c r="G13" s="180"/>
      <c r="I13" s="1" t="s">
        <v>54</v>
      </c>
      <c r="J13" s="8">
        <v>11</v>
      </c>
      <c r="K13" s="8">
        <f>B10*C10/1000000*J13+E10/1000</f>
        <v>3.72</v>
      </c>
      <c r="L13" s="8">
        <f>IF(L1=6,K13,L14)</f>
        <v>0</v>
      </c>
    </row>
    <row r="14" spans="1:12" ht="60" customHeight="1">
      <c r="A14" s="193">
        <v>3</v>
      </c>
      <c r="B14" s="82" t="s">
        <v>177</v>
      </c>
      <c r="C14" s="82"/>
      <c r="D14" s="82"/>
      <c r="E14" s="82"/>
      <c r="F14" s="82"/>
      <c r="G14" s="83"/>
      <c r="H14" s="46"/>
      <c r="I14" s="1" t="s">
        <v>55</v>
      </c>
      <c r="J14" s="8">
        <v>12</v>
      </c>
      <c r="K14" s="8">
        <f>B10*C10/1000000*J14+E10/1000</f>
        <v>4.04</v>
      </c>
      <c r="L14" s="8">
        <f>IF(L1=7,K14,L15)</f>
        <v>0</v>
      </c>
    </row>
    <row r="15" spans="1:12" ht="33" customHeight="1">
      <c r="A15" s="194"/>
      <c r="B15" s="50" t="s">
        <v>130</v>
      </c>
      <c r="C15" s="35" t="s">
        <v>62</v>
      </c>
      <c r="D15" s="85" t="s">
        <v>149</v>
      </c>
      <c r="E15" s="85"/>
      <c r="F15" s="69" t="s">
        <v>135</v>
      </c>
      <c r="G15" s="70" t="s">
        <v>139</v>
      </c>
      <c r="H15" s="47"/>
      <c r="I15" s="1" t="s">
        <v>56</v>
      </c>
      <c r="J15" s="8">
        <v>15</v>
      </c>
      <c r="K15" s="8">
        <f>B10*C10/1000000*J15+E10/1000</f>
        <v>5</v>
      </c>
      <c r="L15" s="8">
        <f>IF(L1=8,K15,L16)</f>
        <v>0</v>
      </c>
    </row>
    <row r="16" spans="1:12" ht="15" customHeight="1">
      <c r="A16" s="194"/>
      <c r="B16" s="51" t="s">
        <v>142</v>
      </c>
      <c r="C16" s="36" t="s">
        <v>151</v>
      </c>
      <c r="D16" s="71" t="s">
        <v>150</v>
      </c>
      <c r="E16" s="71"/>
      <c r="F16" s="52" t="str">
        <f t="shared" ref="F16:F31" si="0">I18</f>
        <v/>
      </c>
      <c r="G16" s="53" t="str">
        <f t="shared" ref="G16:G31" si="1">J18</f>
        <v/>
      </c>
      <c r="H16" s="48"/>
      <c r="I16" s="1" t="s">
        <v>57</v>
      </c>
      <c r="J16" s="14">
        <v>11.2</v>
      </c>
      <c r="K16" s="8">
        <f>B10*C10/1000000*J16+E10/1000</f>
        <v>3.7839999999999998</v>
      </c>
      <c r="L16" s="8">
        <f>IF(L1=9,K16,L18)</f>
        <v>0</v>
      </c>
    </row>
    <row r="17" spans="1:12" ht="15" customHeight="1">
      <c r="A17" s="194"/>
      <c r="B17" s="51" t="s">
        <v>142</v>
      </c>
      <c r="C17" s="36" t="s">
        <v>154</v>
      </c>
      <c r="D17" s="71" t="s">
        <v>152</v>
      </c>
      <c r="E17" s="71"/>
      <c r="F17" s="52" t="str">
        <f t="shared" si="0"/>
        <v/>
      </c>
      <c r="G17" s="53" t="str">
        <f t="shared" si="1"/>
        <v/>
      </c>
      <c r="H17" s="48"/>
      <c r="I17" s="61"/>
      <c r="J17" s="62"/>
      <c r="K17" s="62"/>
      <c r="L17" s="62"/>
    </row>
    <row r="18" spans="1:12" ht="15" customHeight="1">
      <c r="A18" s="194"/>
      <c r="B18" s="51" t="s">
        <v>141</v>
      </c>
      <c r="C18" s="36" t="s">
        <v>155</v>
      </c>
      <c r="D18" s="71" t="s">
        <v>150</v>
      </c>
      <c r="E18" s="71"/>
      <c r="F18" s="52" t="str">
        <f t="shared" si="0"/>
        <v/>
      </c>
      <c r="G18" s="53" t="str">
        <f t="shared" si="1"/>
        <v/>
      </c>
      <c r="H18" s="48"/>
      <c r="I18" s="20" t="str">
        <f>IF(C13&lt;1.3," слишком легкий фасад",IF(($C$13&gt;1.3)*($C$13&lt;4.2)*($D$13&gt;=300)*($D$13&lt;=349),"0023350",""))</f>
        <v/>
      </c>
      <c r="J18" s="21" t="str">
        <f>IF(C13&lt;1.3," слишком легкий фасад",IF(($C$13&gt;1.3)*($C$13&lt;4.2)*($D$13&gt;=300)*($D$13&lt;=349),"0023355",""))</f>
        <v/>
      </c>
    </row>
    <row r="19" spans="1:12" ht="15" customHeight="1">
      <c r="A19" s="194"/>
      <c r="B19" s="51" t="s">
        <v>141</v>
      </c>
      <c r="C19" s="36" t="s">
        <v>156</v>
      </c>
      <c r="D19" s="71" t="s">
        <v>152</v>
      </c>
      <c r="E19" s="71"/>
      <c r="F19" s="52" t="str">
        <f t="shared" si="0"/>
        <v/>
      </c>
      <c r="G19" s="53" t="str">
        <f t="shared" si="1"/>
        <v/>
      </c>
      <c r="H19" s="48"/>
      <c r="I19" s="20" t="str">
        <f>IF(($C$13&gt;1.5)*($C$13&lt;2.5)*($D$13&gt;=350)*($D$13&lt;=399),"0023350","")</f>
        <v/>
      </c>
      <c r="J19" s="21" t="str">
        <f>IF(($C$13&gt;1.5)*($C$13&lt;2.5)*($D$13&gt;=350)*($D$13&lt;=399),"0023355","")</f>
        <v/>
      </c>
    </row>
    <row r="20" spans="1:12" ht="15" customHeight="1">
      <c r="A20" s="194"/>
      <c r="B20" s="51" t="s">
        <v>141</v>
      </c>
      <c r="C20" s="36" t="s">
        <v>157</v>
      </c>
      <c r="D20" s="71" t="s">
        <v>153</v>
      </c>
      <c r="E20" s="71"/>
      <c r="F20" s="52" t="str">
        <f t="shared" si="0"/>
        <v/>
      </c>
      <c r="G20" s="53" t="str">
        <f t="shared" si="1"/>
        <v/>
      </c>
      <c r="H20" s="48"/>
      <c r="I20" s="20" t="str">
        <f>IF(($C$13&gt;3.5)*($C$13&lt;7.2)*($D$13&gt;=300)*($D$13&lt;=349),"0023351","")</f>
        <v/>
      </c>
      <c r="J20" s="21" t="str">
        <f>IF(($C$13&gt;3.5)*($C$13&lt;7.2)*($D$13&gt;=300)*($D$13&lt;=349),"0023356","")</f>
        <v/>
      </c>
    </row>
    <row r="21" spans="1:12" ht="15" customHeight="1">
      <c r="A21" s="194"/>
      <c r="B21" s="51" t="s">
        <v>143</v>
      </c>
      <c r="C21" s="36" t="s">
        <v>159</v>
      </c>
      <c r="D21" s="71" t="s">
        <v>150</v>
      </c>
      <c r="E21" s="71"/>
      <c r="F21" s="52" t="str">
        <f t="shared" si="0"/>
        <v/>
      </c>
      <c r="G21" s="53" t="str">
        <f t="shared" si="1"/>
        <v/>
      </c>
      <c r="H21" s="48"/>
      <c r="I21" s="20" t="str">
        <f>IF(($C$13&gt;2.5)*($C$13&lt;5)*($D$13&gt;=350)*($D$13&lt;=399),"0023351","")</f>
        <v/>
      </c>
      <c r="J21" s="21" t="str">
        <f>IF(($C$13&gt;2.5)*($C$13&lt;5)*($D$13&gt;=350)*($D$13&lt;=399),"0023356","")</f>
        <v/>
      </c>
    </row>
    <row r="22" spans="1:12" ht="15" customHeight="1">
      <c r="A22" s="194"/>
      <c r="B22" s="51" t="s">
        <v>143</v>
      </c>
      <c r="C22" s="36" t="s">
        <v>160</v>
      </c>
      <c r="D22" s="71" t="s">
        <v>152</v>
      </c>
      <c r="E22" s="71"/>
      <c r="F22" s="52" t="str">
        <f t="shared" si="0"/>
        <v/>
      </c>
      <c r="G22" s="53" t="str">
        <f t="shared" si="1"/>
        <v/>
      </c>
      <c r="H22" s="48"/>
      <c r="I22" s="20" t="str">
        <f>IF(($C$13&gt;2)*($C$13&lt;3.5)*($D$13&gt;=400)*($D$13&lt;=550),"0023351","")</f>
        <v/>
      </c>
      <c r="J22" s="21" t="str">
        <f>IF(($C$13&gt;2)*($C$13&lt;3.5)*($D$13&gt;=400)*($D$13&lt;=550),"0023356","")</f>
        <v/>
      </c>
    </row>
    <row r="23" spans="1:12" ht="15" customHeight="1">
      <c r="A23" s="194"/>
      <c r="B23" s="51" t="s">
        <v>143</v>
      </c>
      <c r="C23" s="36" t="s">
        <v>161</v>
      </c>
      <c r="D23" s="71" t="s">
        <v>153</v>
      </c>
      <c r="E23" s="71"/>
      <c r="F23" s="52" t="str">
        <f t="shared" si="0"/>
        <v>0023352</v>
      </c>
      <c r="G23" s="53" t="str">
        <f t="shared" si="1"/>
        <v>0023357</v>
      </c>
      <c r="H23" s="48"/>
      <c r="I23" s="20" t="str">
        <f>IF(($C$13&gt;6.5)*($C$13&lt;12)*($D$13&gt;=300)*($D$13&lt;=349),"0023352","")</f>
        <v/>
      </c>
      <c r="J23" s="21" t="str">
        <f>IF(($C$13&gt;6.5)*($C$13&lt;12)*($D$13&gt;=300)*($D$13&lt;=349),"0023357","")</f>
        <v/>
      </c>
    </row>
    <row r="24" spans="1:12" ht="15" customHeight="1">
      <c r="A24" s="194"/>
      <c r="B24" s="51" t="s">
        <v>143</v>
      </c>
      <c r="C24" s="36" t="s">
        <v>162</v>
      </c>
      <c r="D24" s="71" t="s">
        <v>158</v>
      </c>
      <c r="E24" s="71"/>
      <c r="F24" s="52" t="str">
        <f t="shared" si="0"/>
        <v/>
      </c>
      <c r="G24" s="53" t="str">
        <f t="shared" si="1"/>
        <v/>
      </c>
      <c r="H24" s="48"/>
      <c r="I24" s="20" t="str">
        <f>IF(($C$13&gt;4.5)*($C$13&lt;9)*($D$13&gt;=350)*($D$13&lt;=399),"0023352","")</f>
        <v/>
      </c>
      <c r="J24" s="21" t="str">
        <f>IF(($C$13&gt;4.5)*($C$13&lt;9)*($D$13&gt;=350)*($D$13&lt;=399),"0023357","")</f>
        <v/>
      </c>
    </row>
    <row r="25" spans="1:12" ht="15" customHeight="1">
      <c r="A25" s="194"/>
      <c r="B25" s="51" t="s">
        <v>144</v>
      </c>
      <c r="C25" s="36" t="s">
        <v>163</v>
      </c>
      <c r="D25" s="71" t="s">
        <v>150</v>
      </c>
      <c r="E25" s="71"/>
      <c r="F25" s="52" t="str">
        <f t="shared" si="0"/>
        <v/>
      </c>
      <c r="G25" s="53" t="str">
        <f t="shared" si="1"/>
        <v/>
      </c>
      <c r="H25" s="48"/>
      <c r="I25" s="20" t="str">
        <f>IF(($C$13&gt;2.8)*($C$13&lt;6.5)*($D$13&gt;=400)*($D$13&lt;=550),"0023352","")</f>
        <v>0023352</v>
      </c>
      <c r="J25" s="21" t="str">
        <f>IF(($C$13&gt;2.8)*($C$13&lt;6.5)*($D$13&gt;=400)*($D$13&lt;=550),"0023357","")</f>
        <v>0023357</v>
      </c>
      <c r="K25" s="12"/>
      <c r="L25" s="12"/>
    </row>
    <row r="26" spans="1:12" ht="15" customHeight="1">
      <c r="A26" s="194"/>
      <c r="B26" s="51" t="s">
        <v>144</v>
      </c>
      <c r="C26" s="36" t="s">
        <v>164</v>
      </c>
      <c r="D26" s="71" t="s">
        <v>152</v>
      </c>
      <c r="E26" s="71"/>
      <c r="F26" s="52" t="str">
        <f t="shared" si="0"/>
        <v/>
      </c>
      <c r="G26" s="53" t="str">
        <f t="shared" si="1"/>
        <v/>
      </c>
      <c r="H26" s="48"/>
      <c r="I26" s="20" t="str">
        <f>IF(($C$13&gt;2)*($C$13&lt;5.2)*($D$13&gt;=450)*($D$13&lt;=580),"0023352","")</f>
        <v/>
      </c>
      <c r="J26" s="20" t="str">
        <f>IF(($C$13&gt;2)*($C$13&lt;5.2)*($D$13&gt;=450)*($D$13&lt;=580),"0023357","")</f>
        <v/>
      </c>
      <c r="K26" s="12"/>
      <c r="L26" s="12"/>
    </row>
    <row r="27" spans="1:12" ht="15" customHeight="1">
      <c r="A27" s="194"/>
      <c r="B27" s="51" t="s">
        <v>144</v>
      </c>
      <c r="C27" s="36" t="s">
        <v>165</v>
      </c>
      <c r="D27" s="71" t="s">
        <v>153</v>
      </c>
      <c r="E27" s="71"/>
      <c r="F27" s="52" t="str">
        <f t="shared" si="0"/>
        <v/>
      </c>
      <c r="G27" s="53" t="str">
        <f t="shared" si="1"/>
        <v/>
      </c>
      <c r="H27" s="48"/>
      <c r="I27" s="20" t="str">
        <f>IF(($C$13&gt;11)*($C$13&lt;20)*($D$13&gt;=300)*($D$13&lt;=349),"0023353","")</f>
        <v/>
      </c>
      <c r="J27" s="21" t="str">
        <f>IF(($C$13&gt;11)*($C$13&lt;20)*($D$13&gt;=300)*($D$13&lt;=349),"0023358","")</f>
        <v/>
      </c>
      <c r="K27" s="12"/>
      <c r="L27" s="12"/>
    </row>
    <row r="28" spans="1:12" ht="15" customHeight="1">
      <c r="A28" s="194"/>
      <c r="B28" s="51" t="s">
        <v>144</v>
      </c>
      <c r="C28" s="36" t="s">
        <v>166</v>
      </c>
      <c r="D28" s="71" t="s">
        <v>158</v>
      </c>
      <c r="E28" s="71"/>
      <c r="F28" s="52" t="str">
        <f t="shared" si="0"/>
        <v/>
      </c>
      <c r="G28" s="53" t="str">
        <f t="shared" si="1"/>
        <v/>
      </c>
      <c r="H28" s="48"/>
      <c r="I28" s="20" t="str">
        <f>IF(($C$13&gt;8)*($C$13&lt;14.5)*($D$13&gt;=350)*($D$13&lt;=399),"0023353","")</f>
        <v/>
      </c>
      <c r="J28" s="21" t="str">
        <f>IF(($C$13&gt;8)*($C$13&lt;14.5)*($D$13&gt;=350)*($D$13&lt;=399),"0023358","")</f>
        <v/>
      </c>
      <c r="K28" s="12"/>
      <c r="L28" s="12"/>
    </row>
    <row r="29" spans="1:12" ht="15" customHeight="1">
      <c r="A29" s="194"/>
      <c r="B29" s="51" t="s">
        <v>145</v>
      </c>
      <c r="C29" s="36" t="s">
        <v>167</v>
      </c>
      <c r="D29" s="71" t="s">
        <v>152</v>
      </c>
      <c r="E29" s="71"/>
      <c r="F29" s="52" t="str">
        <f t="shared" si="0"/>
        <v/>
      </c>
      <c r="G29" s="53" t="str">
        <f t="shared" si="1"/>
        <v/>
      </c>
      <c r="H29" s="48"/>
      <c r="I29" s="20" t="str">
        <f>IF(($C$13&gt;5.8)*($C$13&lt;11.5)*($D$13&gt;=400)*($D$13&lt;=550),"0023353","")</f>
        <v/>
      </c>
      <c r="J29" s="20" t="str">
        <f>IF(($C$13&gt;5.8)*($C$13&lt;11.5)*($D$13&gt;=400)*($D$13&lt;=550),"0023358","")</f>
        <v/>
      </c>
      <c r="K29" s="12"/>
      <c r="L29" s="12"/>
    </row>
    <row r="30" spans="1:12" ht="15" customHeight="1">
      <c r="A30" s="194"/>
      <c r="B30" s="51" t="s">
        <v>145</v>
      </c>
      <c r="C30" s="36" t="s">
        <v>168</v>
      </c>
      <c r="D30" s="71" t="s">
        <v>153</v>
      </c>
      <c r="E30" s="71"/>
      <c r="F30" s="52" t="str">
        <f t="shared" si="0"/>
        <v/>
      </c>
      <c r="G30" s="53" t="str">
        <f t="shared" si="1"/>
        <v/>
      </c>
      <c r="H30" s="48"/>
      <c r="I30" s="20" t="str">
        <f>IF(($C$13&gt;4.2)*($C$13&lt;9.2)*($D$13&gt;=450)*($D$13&lt;=580),"0023353","")</f>
        <v/>
      </c>
      <c r="J30" s="20" t="str">
        <f>IF(($C$13&gt;4.2)*($C$13&lt;9.2)*($D$13&gt;=450)*($D$13&lt;=580),"0023358","")</f>
        <v/>
      </c>
      <c r="K30" s="12"/>
      <c r="L30" s="12"/>
    </row>
    <row r="31" spans="1:12" ht="15" customHeight="1" thickBot="1">
      <c r="A31" s="194"/>
      <c r="B31" s="63" t="s">
        <v>145</v>
      </c>
      <c r="C31" s="64" t="s">
        <v>169</v>
      </c>
      <c r="D31" s="196" t="s">
        <v>158</v>
      </c>
      <c r="E31" s="196"/>
      <c r="F31" s="65" t="str">
        <f t="shared" si="0"/>
        <v/>
      </c>
      <c r="G31" s="66" t="str">
        <f t="shared" si="1"/>
        <v/>
      </c>
      <c r="H31" s="48"/>
      <c r="I31" s="20" t="str">
        <f>IF(($C$13&gt;13.5)*($C$13&lt;20)*($D$13&gt;=350)*($D$13&lt;=399),"0023354","")</f>
        <v/>
      </c>
      <c r="J31" s="20" t="str">
        <f>IF(($C$13&gt;13.5)*($C$13&lt;20)*($D$13&gt;=350)*($D$13&lt;=399),"0023359","")</f>
        <v/>
      </c>
      <c r="K31" s="12"/>
      <c r="L31" s="12"/>
    </row>
    <row r="32" spans="1:12" ht="40" customHeight="1">
      <c r="A32" s="193">
        <v>4</v>
      </c>
      <c r="B32" s="82" t="s">
        <v>170</v>
      </c>
      <c r="C32" s="82"/>
      <c r="D32" s="82"/>
      <c r="E32" s="82"/>
      <c r="F32" s="82"/>
      <c r="G32" s="83"/>
      <c r="H32" s="48"/>
      <c r="I32" s="20" t="str">
        <f>IF(($C$13&gt;10.5)*($C$13&lt;20)*($D$13&gt;=400)*($D$13&lt;=550),"0023354","")</f>
        <v/>
      </c>
      <c r="J32" s="21" t="str">
        <f>IF(($C$13&gt;10.5)*($C$13&lt;20)*($D$13&gt;=400)*($D$13&lt;=550),"0023359","")</f>
        <v/>
      </c>
      <c r="K32" s="12"/>
      <c r="L32" s="12"/>
    </row>
    <row r="33" spans="1:12" ht="20.149999999999999" customHeight="1">
      <c r="A33" s="194"/>
      <c r="B33" s="197" t="s">
        <v>176</v>
      </c>
      <c r="C33" s="198"/>
      <c r="D33" s="85" t="s">
        <v>149</v>
      </c>
      <c r="E33" s="85"/>
      <c r="F33" s="197" t="s">
        <v>175</v>
      </c>
      <c r="G33" s="207"/>
      <c r="H33" s="48"/>
      <c r="I33" s="20" t="str">
        <f>IF(C13&gt;16.5," слишком тяжелый фасад",IF(($C$13&gt;8.3)*($C$13&lt;16.5)*($D$13&gt;=450)*($D$13&lt;=580),"0023354",""))</f>
        <v/>
      </c>
      <c r="J33" s="20" t="str">
        <f>IF(C13&gt;16.5," слишком тяжелый фасад",IF(($C$13&gt;8.3)*($C$13&lt;16.5)*($D$13&gt;=450)*($D$13&lt;=580),"0023359",""))</f>
        <v/>
      </c>
      <c r="K33" s="12"/>
      <c r="L33" s="12"/>
    </row>
    <row r="34" spans="1:12" ht="15" customHeight="1">
      <c r="A34" s="194"/>
      <c r="B34" s="203" t="s">
        <v>171</v>
      </c>
      <c r="C34" s="204"/>
      <c r="D34" s="71" t="s">
        <v>150</v>
      </c>
      <c r="E34" s="71"/>
      <c r="F34" s="199" t="str">
        <f>I35</f>
        <v/>
      </c>
      <c r="G34" s="200"/>
      <c r="H34" s="48"/>
      <c r="I34" s="20"/>
      <c r="J34" s="21"/>
      <c r="K34" s="12"/>
      <c r="L34" s="12"/>
    </row>
    <row r="35" spans="1:12" ht="15" customHeight="1">
      <c r="A35" s="194"/>
      <c r="B35" s="203" t="s">
        <v>172</v>
      </c>
      <c r="C35" s="204"/>
      <c r="D35" s="71" t="s">
        <v>152</v>
      </c>
      <c r="E35" s="71"/>
      <c r="F35" s="199" t="str">
        <f t="shared" ref="F35:F36" si="2">I36</f>
        <v/>
      </c>
      <c r="G35" s="200"/>
      <c r="H35" s="48"/>
      <c r="I35" s="20" t="str">
        <f>IF(D13&lt;300,"слишком низкий фасад",IF(($D$13&gt;=300)*($D$13&lt;=349),"0023360",""))</f>
        <v/>
      </c>
      <c r="J35" s="21"/>
      <c r="K35" s="12"/>
      <c r="L35" s="12"/>
    </row>
    <row r="36" spans="1:12" ht="15" customHeight="1">
      <c r="A36" s="194"/>
      <c r="B36" s="203" t="s">
        <v>173</v>
      </c>
      <c r="C36" s="204"/>
      <c r="D36" s="71" t="s">
        <v>153</v>
      </c>
      <c r="E36" s="71"/>
      <c r="F36" s="199" t="str">
        <f t="shared" si="2"/>
        <v>0023362</v>
      </c>
      <c r="G36" s="200"/>
      <c r="H36" s="48"/>
      <c r="I36" s="20" t="str">
        <f>IF(($D$13&gt;=350)*($D$13&lt;=399),"0023361","")</f>
        <v/>
      </c>
      <c r="J36" s="21"/>
      <c r="K36" s="12"/>
      <c r="L36" s="12"/>
    </row>
    <row r="37" spans="1:12" ht="15" customHeight="1" thickBot="1">
      <c r="A37" s="195"/>
      <c r="B37" s="205" t="s">
        <v>174</v>
      </c>
      <c r="C37" s="206"/>
      <c r="D37" s="73" t="s">
        <v>158</v>
      </c>
      <c r="E37" s="73"/>
      <c r="F37" s="201" t="str">
        <f>I38</f>
        <v/>
      </c>
      <c r="G37" s="202"/>
      <c r="H37" s="48"/>
      <c r="I37" s="20" t="str">
        <f>IF(($D$13&gt;=400)*($D$13&lt;=550),"0023362","")</f>
        <v>0023362</v>
      </c>
      <c r="J37" s="21"/>
      <c r="K37" s="12"/>
      <c r="L37" s="12"/>
    </row>
    <row r="38" spans="1:12" ht="15" customHeight="1">
      <c r="A38" s="173" t="s">
        <v>67</v>
      </c>
      <c r="B38" s="174"/>
      <c r="C38" s="174"/>
      <c r="D38" s="174"/>
      <c r="E38" s="174"/>
      <c r="F38" s="174"/>
      <c r="G38" s="175"/>
      <c r="I38" s="20" t="str">
        <f>IF(D13&gt;580,"слишком высокий фасад",IF(($D$13&gt;=450)*($D$13&lt;=580),"0023363",""))</f>
        <v/>
      </c>
      <c r="J38" s="21"/>
    </row>
    <row r="39" spans="1:12" ht="15" customHeight="1" thickBot="1">
      <c r="A39" s="176"/>
      <c r="B39" s="177"/>
      <c r="C39" s="177"/>
      <c r="D39" s="177"/>
      <c r="E39" s="177"/>
      <c r="F39" s="177"/>
      <c r="G39" s="178"/>
      <c r="J39" s="12"/>
    </row>
    <row r="40" spans="1:12">
      <c r="J40" s="12"/>
    </row>
    <row r="41" spans="1:12">
      <c r="J41" s="12"/>
    </row>
  </sheetData>
  <sheetProtection algorithmName="SHA-512" hashValue="eh3aTIKUhv5Wg1OLuIc1lrxNcdC7OPo2qV1AruhwJJDT6eqXs5294OwA0fmmJAydg7L9AwgYEQAatE0e6jRwcg==" saltValue="O+n1HyuanvasbKUvaiUH0w==" spinCount="100000" sheet="1" objects="1" scenarios="1"/>
  <mergeCells count="49">
    <mergeCell ref="D31:E31"/>
    <mergeCell ref="B33:C33"/>
    <mergeCell ref="F36:G36"/>
    <mergeCell ref="F37:G37"/>
    <mergeCell ref="F35:G35"/>
    <mergeCell ref="B34:C34"/>
    <mergeCell ref="B35:C35"/>
    <mergeCell ref="B36:C36"/>
    <mergeCell ref="B37:C37"/>
    <mergeCell ref="F34:G34"/>
    <mergeCell ref="F33:G33"/>
    <mergeCell ref="D26:E26"/>
    <mergeCell ref="D27:E27"/>
    <mergeCell ref="D28:E28"/>
    <mergeCell ref="D29:E29"/>
    <mergeCell ref="D30:E30"/>
    <mergeCell ref="D19:E19"/>
    <mergeCell ref="D20:E20"/>
    <mergeCell ref="D22:E22"/>
    <mergeCell ref="D23:E23"/>
    <mergeCell ref="D24:E24"/>
    <mergeCell ref="A38:G39"/>
    <mergeCell ref="D35:E35"/>
    <mergeCell ref="D36:E36"/>
    <mergeCell ref="D37:E37"/>
    <mergeCell ref="B14:G14"/>
    <mergeCell ref="D15:E15"/>
    <mergeCell ref="D16:E16"/>
    <mergeCell ref="D18:E18"/>
    <mergeCell ref="D21:E21"/>
    <mergeCell ref="D25:E25"/>
    <mergeCell ref="D33:E33"/>
    <mergeCell ref="D34:E34"/>
    <mergeCell ref="B32:G32"/>
    <mergeCell ref="A14:A31"/>
    <mergeCell ref="A32:A37"/>
    <mergeCell ref="D17:E17"/>
    <mergeCell ref="A11:A13"/>
    <mergeCell ref="B11:G11"/>
    <mergeCell ref="B12:B13"/>
    <mergeCell ref="D12:E12"/>
    <mergeCell ref="F12:G13"/>
    <mergeCell ref="D13:E13"/>
    <mergeCell ref="A1:G7"/>
    <mergeCell ref="J1:K1"/>
    <mergeCell ref="A8:A10"/>
    <mergeCell ref="B8:G8"/>
    <mergeCell ref="D9:D10"/>
    <mergeCell ref="F9:G10"/>
  </mergeCells>
  <hyperlinks>
    <hyperlink ref="A38" r:id="rId1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11266" r:id="rId5">
          <objectPr defaultSize="0" autoPict="0" r:id="rId6">
            <anchor moveWithCells="1">
              <from>
                <xdr:col>0</xdr:col>
                <xdr:colOff>127000</xdr:colOff>
                <xdr:row>0</xdr:row>
                <xdr:rowOff>95250</xdr:rowOff>
              </from>
              <to>
                <xdr:col>1</xdr:col>
                <xdr:colOff>1276350</xdr:colOff>
                <xdr:row>2</xdr:row>
                <xdr:rowOff>184150</xdr:rowOff>
              </to>
            </anchor>
          </objectPr>
        </oleObject>
      </mc:Choice>
      <mc:Fallback>
        <oleObject progId="CorelDraw.Graphic.18" shapeId="11266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7" name="Drop Down 1">
              <controlPr defaultSize="0" autoLine="0" autoPict="0">
                <anchor>
                  <from>
                    <xdr:col>1</xdr:col>
                    <xdr:colOff>209550</xdr:colOff>
                    <xdr:row>11</xdr:row>
                    <xdr:rowOff>88900</xdr:rowOff>
                  </from>
                  <to>
                    <xdr:col>1</xdr:col>
                    <xdr:colOff>2393950</xdr:colOff>
                    <xdr:row>12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TOP STAY SQ NEW</vt:lpstr>
      <vt:lpstr>TOP STAY SF </vt:lpstr>
      <vt:lpstr>TOP STAY SE</vt:lpstr>
      <vt:lpstr>Лист1</vt:lpstr>
      <vt:lpstr>TOP STAY ST</vt:lpstr>
      <vt:lpstr>TOP STAY 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2025-07-30T13:10:10Z</dcterms:modified>
</cp:coreProperties>
</file>